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Dropbox\Sigma\09. Website\_content\"/>
    </mc:Choice>
  </mc:AlternateContent>
  <xr:revisionPtr revIDLastSave="0" documentId="8_{E54BB528-26FA-42C9-8C98-D01BDE734139}" xr6:coauthVersionLast="40" xr6:coauthVersionMax="40" xr10:uidLastSave="{00000000-0000-0000-0000-000000000000}"/>
  <bookViews>
    <workbookView xWindow="0" yWindow="0" windowWidth="28800" windowHeight="14196" xr2:uid="{00000000-000D-0000-FFFF-FFFF00000000}"/>
  </bookViews>
  <sheets>
    <sheet name="Index" sheetId="24" r:id="rId1"/>
    <sheet name="01" sheetId="3" r:id="rId2"/>
    <sheet name="02" sheetId="4" r:id="rId3"/>
    <sheet name="03" sheetId="9" r:id="rId4"/>
    <sheet name="04" sheetId="8" r:id="rId5"/>
    <sheet name="05" sheetId="6" r:id="rId6"/>
    <sheet name="06" sheetId="1" r:id="rId7"/>
    <sheet name="07" sheetId="12" r:id="rId8"/>
    <sheet name="08" sheetId="13" r:id="rId9"/>
    <sheet name="09" sheetId="16" r:id="rId10"/>
    <sheet name="10" sheetId="14" r:id="rId11"/>
    <sheet name="11" sheetId="17" r:id="rId12"/>
    <sheet name="12" sheetId="18" r:id="rId13"/>
    <sheet name="13" sheetId="19" r:id="rId14"/>
    <sheet name="14" sheetId="20" r:id="rId15"/>
    <sheet name="15" sheetId="21" r:id="rId16"/>
    <sheet name="16" sheetId="23" r:id="rId17"/>
    <sheet name="17" sheetId="25" r:id="rId18"/>
    <sheet name="18" sheetId="27" r:id="rId19"/>
    <sheet name="19" sheetId="26" r:id="rId20"/>
    <sheet name="20" sheetId="22" r:id="rId21"/>
    <sheet name="21" sheetId="10" r:id="rId22"/>
    <sheet name="22" sheetId="11" r:id="rId23"/>
  </sheets>
  <definedNames>
    <definedName name="_Regression_Int" localSheetId="22" hidden="1">1</definedName>
    <definedName name="_xlnm.Print_Area" localSheetId="22">'22'!$A$2:$P$39</definedName>
    <definedName name="Print_Area_MI" localSheetId="22">'22'!$A$2:$P$39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4" i="27" l="1"/>
  <c r="D23" i="27" s="1"/>
  <c r="L54" i="27"/>
  <c r="D22" i="27" s="1"/>
  <c r="K54" i="27"/>
  <c r="D21" i="27" s="1"/>
  <c r="J54" i="27"/>
  <c r="D20" i="27" s="1"/>
  <c r="I54" i="27"/>
  <c r="D19" i="27" s="1"/>
  <c r="H54" i="27"/>
  <c r="D18" i="27" s="1"/>
  <c r="L7" i="27"/>
  <c r="H11" i="27" s="1"/>
  <c r="N12" i="27"/>
  <c r="O12" i="27"/>
  <c r="O13" i="27"/>
  <c r="M11" i="27"/>
  <c r="N11" i="27"/>
  <c r="O11" i="27"/>
  <c r="L10" i="27"/>
  <c r="M10" i="27"/>
  <c r="N10" i="27"/>
  <c r="O10" i="27"/>
  <c r="O9" i="27"/>
  <c r="N9" i="27"/>
  <c r="M9" i="27"/>
  <c r="L9" i="27"/>
  <c r="L51" i="27" s="1"/>
  <c r="D11" i="27" s="1"/>
  <c r="K9" i="27"/>
  <c r="O8" i="27"/>
  <c r="N8" i="27"/>
  <c r="M8" i="27"/>
  <c r="L8" i="27"/>
  <c r="I11" i="27" s="1"/>
  <c r="K8" i="27"/>
  <c r="J8" i="27"/>
  <c r="O7" i="27"/>
  <c r="N7" i="27"/>
  <c r="M7" i="27"/>
  <c r="K7" i="27"/>
  <c r="K51" i="27" s="1"/>
  <c r="D10" i="27" s="1"/>
  <c r="J7" i="27"/>
  <c r="J51" i="27" s="1"/>
  <c r="D9" i="27" s="1"/>
  <c r="I7" i="27"/>
  <c r="I51" i="27" s="1"/>
  <c r="D8" i="27" s="1"/>
  <c r="H51" i="27"/>
  <c r="D7" i="27" s="1"/>
  <c r="F57" i="26"/>
  <c r="E57" i="26"/>
  <c r="G56" i="26"/>
  <c r="E56" i="26"/>
  <c r="G55" i="26"/>
  <c r="F55" i="26"/>
  <c r="E55" i="26"/>
  <c r="G54" i="26"/>
  <c r="F54" i="26"/>
  <c r="K52" i="26"/>
  <c r="J52" i="26"/>
  <c r="H52" i="26"/>
  <c r="G52" i="26"/>
  <c r="F52" i="26"/>
  <c r="E52" i="26"/>
  <c r="H19" i="20"/>
  <c r="H21" i="20" s="1"/>
  <c r="H9" i="20"/>
  <c r="L12" i="20"/>
  <c r="M14" i="20"/>
  <c r="L14" i="20"/>
  <c r="K14" i="20"/>
  <c r="J14" i="20"/>
  <c r="I14" i="20"/>
  <c r="H14" i="20"/>
  <c r="O13" i="20"/>
  <c r="N14" i="20" s="1"/>
  <c r="M13" i="20"/>
  <c r="L13" i="20"/>
  <c r="K13" i="20"/>
  <c r="J13" i="20"/>
  <c r="I13" i="20"/>
  <c r="H13" i="20"/>
  <c r="K12" i="20"/>
  <c r="J12" i="20"/>
  <c r="L10" i="20"/>
  <c r="O30" i="20"/>
  <c r="D14" i="20" s="1"/>
  <c r="N30" i="20"/>
  <c r="M30" i="20"/>
  <c r="L30" i="20"/>
  <c r="K30" i="20"/>
  <c r="J30" i="20"/>
  <c r="I30" i="20"/>
  <c r="H30" i="20"/>
  <c r="H7" i="25"/>
  <c r="G60" i="23"/>
  <c r="J61" i="23"/>
  <c r="I60" i="23"/>
  <c r="H59" i="23"/>
  <c r="G58" i="23"/>
  <c r="K51" i="24"/>
  <c r="D10" i="24" s="1"/>
  <c r="J51" i="24"/>
  <c r="D9" i="24" s="1"/>
  <c r="I51" i="24"/>
  <c r="D8" i="24" s="1"/>
  <c r="H51" i="24"/>
  <c r="D7" i="24" s="1"/>
  <c r="G61" i="23"/>
  <c r="H60" i="23"/>
  <c r="I59" i="23"/>
  <c r="J58" i="23"/>
  <c r="J59" i="23"/>
  <c r="J60" i="23" s="1"/>
  <c r="D10" i="23" s="1"/>
  <c r="H61" i="23"/>
  <c r="I61" i="23" s="1"/>
  <c r="D9" i="23" s="1"/>
  <c r="G59" i="23"/>
  <c r="H58" i="23"/>
  <c r="I58" i="23" s="1"/>
  <c r="H56" i="22"/>
  <c r="G56" i="22"/>
  <c r="F56" i="22"/>
  <c r="I55" i="22"/>
  <c r="G55" i="22"/>
  <c r="F55" i="22"/>
  <c r="I54" i="22"/>
  <c r="H54" i="22"/>
  <c r="F54" i="22"/>
  <c r="I53" i="22"/>
  <c r="H53" i="22"/>
  <c r="G53" i="22"/>
  <c r="M51" i="22"/>
  <c r="L51" i="22"/>
  <c r="J51" i="22"/>
  <c r="I51" i="22"/>
  <c r="H51" i="22"/>
  <c r="G51" i="22"/>
  <c r="F51" i="22"/>
  <c r="D9" i="21"/>
  <c r="K55" i="21"/>
  <c r="I55" i="21"/>
  <c r="K54" i="21"/>
  <c r="J54" i="21"/>
  <c r="I56" i="21"/>
  <c r="J56" i="21"/>
  <c r="K53" i="21"/>
  <c r="H56" i="21"/>
  <c r="H55" i="21"/>
  <c r="D7" i="21" s="1"/>
  <c r="J53" i="21"/>
  <c r="M51" i="27" l="1"/>
  <c r="D12" i="27" s="1"/>
  <c r="N51" i="27"/>
  <c r="D13" i="27" s="1"/>
  <c r="O51" i="27"/>
  <c r="D14" i="27" s="1"/>
  <c r="D10" i="21"/>
  <c r="D8" i="23"/>
  <c r="D7" i="23"/>
  <c r="I53" i="21"/>
  <c r="D8" i="21" s="1"/>
  <c r="H54" i="21"/>
  <c r="O51" i="21"/>
  <c r="N51" i="21"/>
  <c r="L51" i="21"/>
  <c r="K51" i="21"/>
  <c r="J51" i="21"/>
  <c r="I51" i="21"/>
  <c r="H51" i="21"/>
  <c r="D13" i="20"/>
  <c r="D12" i="20"/>
  <c r="D11" i="20"/>
  <c r="D10" i="20"/>
  <c r="D9" i="20"/>
  <c r="D8" i="20"/>
  <c r="D7" i="20"/>
  <c r="N51" i="19"/>
  <c r="D13" i="19" s="1"/>
  <c r="M51" i="19"/>
  <c r="D12" i="19" s="1"/>
  <c r="L51" i="19"/>
  <c r="D11" i="19" s="1"/>
  <c r="K51" i="19"/>
  <c r="D10" i="19" s="1"/>
  <c r="J51" i="19"/>
  <c r="D9" i="19" s="1"/>
  <c r="I51" i="19"/>
  <c r="D8" i="19" s="1"/>
  <c r="H51" i="19"/>
  <c r="D7" i="19" s="1"/>
  <c r="R51" i="18"/>
  <c r="D17" i="18" s="1"/>
  <c r="Q51" i="18"/>
  <c r="D16" i="18" s="1"/>
  <c r="P51" i="18"/>
  <c r="D15" i="18" s="1"/>
  <c r="O51" i="18"/>
  <c r="D14" i="18" s="1"/>
  <c r="N51" i="18"/>
  <c r="D13" i="18" s="1"/>
  <c r="M51" i="18"/>
  <c r="D12" i="18" s="1"/>
  <c r="L51" i="18"/>
  <c r="D11" i="18" s="1"/>
  <c r="K51" i="18"/>
  <c r="D10" i="18" s="1"/>
  <c r="J51" i="18"/>
  <c r="D9" i="18" s="1"/>
  <c r="I51" i="18"/>
  <c r="D8" i="18" s="1"/>
  <c r="H51" i="18"/>
  <c r="D7" i="18" s="1"/>
  <c r="R51" i="17"/>
  <c r="D17" i="17" s="1"/>
  <c r="Q51" i="17"/>
  <c r="D16" i="17" s="1"/>
  <c r="P51" i="17"/>
  <c r="D15" i="17" s="1"/>
  <c r="O51" i="17"/>
  <c r="D14" i="17" s="1"/>
  <c r="N51" i="17"/>
  <c r="D13" i="17" s="1"/>
  <c r="M51" i="17"/>
  <c r="D12" i="17" s="1"/>
  <c r="L51" i="17"/>
  <c r="D11" i="17" s="1"/>
  <c r="K51" i="17"/>
  <c r="D10" i="17" s="1"/>
  <c r="J51" i="17"/>
  <c r="D9" i="17" s="1"/>
  <c r="I51" i="17"/>
  <c r="D8" i="17" s="1"/>
  <c r="H51" i="17"/>
  <c r="D7" i="17" s="1"/>
  <c r="O51" i="16" l="1"/>
  <c r="D14" i="16" s="1"/>
  <c r="N51" i="16"/>
  <c r="D13" i="16" s="1"/>
  <c r="M51" i="16"/>
  <c r="D12" i="16" s="1"/>
  <c r="L51" i="16"/>
  <c r="D11" i="16" s="1"/>
  <c r="K51" i="16"/>
  <c r="D10" i="16" s="1"/>
  <c r="J51" i="16"/>
  <c r="D9" i="16" s="1"/>
  <c r="I51" i="16"/>
  <c r="D8" i="16" s="1"/>
  <c r="H51" i="16"/>
  <c r="D7" i="16" s="1"/>
  <c r="M51" i="14"/>
  <c r="D12" i="14" s="1"/>
  <c r="L51" i="14"/>
  <c r="D11" i="14" s="1"/>
  <c r="K51" i="14"/>
  <c r="D10" i="14" s="1"/>
  <c r="J51" i="14"/>
  <c r="D9" i="14" s="1"/>
  <c r="I51" i="14"/>
  <c r="D8" i="14" s="1"/>
  <c r="H51" i="14"/>
  <c r="D7" i="14" s="1"/>
  <c r="M51" i="13"/>
  <c r="D12" i="13" s="1"/>
  <c r="L51" i="13"/>
  <c r="D11" i="13" s="1"/>
  <c r="K51" i="13"/>
  <c r="D10" i="13" s="1"/>
  <c r="J51" i="13"/>
  <c r="D9" i="13" s="1"/>
  <c r="I51" i="13"/>
  <c r="D8" i="13" s="1"/>
  <c r="H51" i="13"/>
  <c r="D7" i="13" s="1"/>
  <c r="O51" i="12"/>
  <c r="D14" i="12" s="1"/>
  <c r="N51" i="12"/>
  <c r="D13" i="12" s="1"/>
  <c r="M51" i="12"/>
  <c r="D12" i="12" s="1"/>
  <c r="L51" i="12"/>
  <c r="D11" i="12" s="1"/>
  <c r="K51" i="12"/>
  <c r="D10" i="12" s="1"/>
  <c r="J51" i="12"/>
  <c r="D9" i="12" s="1"/>
  <c r="I51" i="12"/>
  <c r="D8" i="12" s="1"/>
  <c r="H51" i="12"/>
  <c r="D7" i="12" s="1"/>
  <c r="F37" i="10" l="1"/>
  <c r="K6" i="11"/>
  <c r="Q6" i="11"/>
  <c r="R6" i="11" s="1"/>
  <c r="S6" i="11"/>
  <c r="U6" i="11"/>
  <c r="K7" i="11"/>
  <c r="Q7" i="11"/>
  <c r="R7" i="11" s="1"/>
  <c r="S7" i="11"/>
  <c r="U7" i="11"/>
  <c r="K8" i="11"/>
  <c r="Q8" i="11"/>
  <c r="R8" i="11" s="1"/>
  <c r="S8" i="11"/>
  <c r="U8" i="11"/>
  <c r="K9" i="11"/>
  <c r="Q9" i="11"/>
  <c r="R9" i="11" s="1"/>
  <c r="S9" i="11"/>
  <c r="U9" i="11"/>
  <c r="K10" i="11"/>
  <c r="Q10" i="11"/>
  <c r="R10" i="11" s="1"/>
  <c r="S10" i="11"/>
  <c r="U10" i="11"/>
  <c r="K11" i="11"/>
  <c r="Q11" i="11"/>
  <c r="R11" i="11" s="1"/>
  <c r="S11" i="11"/>
  <c r="U11" i="11"/>
  <c r="K12" i="11"/>
  <c r="Q12" i="11"/>
  <c r="R12" i="11" s="1"/>
  <c r="S12" i="11"/>
  <c r="U12" i="11"/>
  <c r="K13" i="11"/>
  <c r="Q13" i="11"/>
  <c r="R13" i="11" s="1"/>
  <c r="S13" i="11"/>
  <c r="U13" i="11"/>
  <c r="K14" i="11"/>
  <c r="Q14" i="11"/>
  <c r="R14" i="11" s="1"/>
  <c r="S14" i="11"/>
  <c r="U14" i="11"/>
  <c r="K15" i="11"/>
  <c r="Q15" i="11"/>
  <c r="R15" i="11" s="1"/>
  <c r="S15" i="11"/>
  <c r="U15" i="11"/>
  <c r="K16" i="11"/>
  <c r="Q16" i="11"/>
  <c r="R16" i="11" s="1"/>
  <c r="S16" i="11"/>
  <c r="U16" i="11"/>
  <c r="K17" i="11"/>
  <c r="Q17" i="11"/>
  <c r="R17" i="11" s="1"/>
  <c r="S17" i="11"/>
  <c r="U17" i="11"/>
  <c r="K18" i="11"/>
  <c r="Q18" i="11"/>
  <c r="R18" i="11" s="1"/>
  <c r="S18" i="11"/>
  <c r="U18" i="11"/>
  <c r="K19" i="11"/>
  <c r="Q19" i="11"/>
  <c r="R19" i="11" s="1"/>
  <c r="S19" i="11"/>
  <c r="U19" i="11"/>
  <c r="K20" i="11"/>
  <c r="Q20" i="11"/>
  <c r="R20" i="11" s="1"/>
  <c r="S20" i="11"/>
  <c r="U20" i="11"/>
  <c r="K21" i="11"/>
  <c r="Q21" i="11"/>
  <c r="R21" i="11" s="1"/>
  <c r="S21" i="11"/>
  <c r="U21" i="11"/>
  <c r="K22" i="11"/>
  <c r="Q22" i="11"/>
  <c r="R22" i="11" s="1"/>
  <c r="S22" i="11"/>
  <c r="U22" i="11"/>
  <c r="K23" i="11"/>
  <c r="R23" i="11"/>
  <c r="S23" i="11"/>
  <c r="U23" i="11"/>
  <c r="K24" i="11"/>
  <c r="R24" i="11"/>
  <c r="S24" i="11"/>
  <c r="U24" i="11"/>
  <c r="K25" i="11"/>
  <c r="R25" i="11"/>
  <c r="S25" i="11"/>
  <c r="U25" i="11"/>
  <c r="K26" i="11"/>
  <c r="R26" i="11"/>
  <c r="S26" i="11"/>
  <c r="U26" i="11"/>
  <c r="K27" i="11"/>
  <c r="R27" i="11"/>
  <c r="S27" i="11"/>
  <c r="U27" i="11"/>
  <c r="H28" i="11"/>
  <c r="J17" i="11" s="1"/>
  <c r="M17" i="11" s="1"/>
  <c r="P52" i="10"/>
  <c r="T52" i="10" s="1"/>
  <c r="Q52" i="10"/>
  <c r="R52" i="10"/>
  <c r="S52" i="10"/>
  <c r="P53" i="10"/>
  <c r="T53" i="10" s="1"/>
  <c r="Q53" i="10"/>
  <c r="R53" i="10"/>
  <c r="S53" i="10"/>
  <c r="P54" i="10"/>
  <c r="T54" i="10" s="1"/>
  <c r="Q54" i="10"/>
  <c r="R54" i="10"/>
  <c r="S54" i="10"/>
  <c r="P55" i="10"/>
  <c r="T55" i="10" s="1"/>
  <c r="Q55" i="10"/>
  <c r="R55" i="10"/>
  <c r="S55" i="10"/>
  <c r="P56" i="10"/>
  <c r="T56" i="10" s="1"/>
  <c r="Q56" i="10"/>
  <c r="R56" i="10"/>
  <c r="S56" i="10"/>
  <c r="P57" i="10"/>
  <c r="T57" i="10" s="1"/>
  <c r="Q57" i="10"/>
  <c r="R57" i="10"/>
  <c r="S57" i="10"/>
  <c r="P58" i="10"/>
  <c r="T58" i="10" s="1"/>
  <c r="Q58" i="10"/>
  <c r="R58" i="10"/>
  <c r="S58" i="10"/>
  <c r="P59" i="10"/>
  <c r="T59" i="10" s="1"/>
  <c r="Q59" i="10"/>
  <c r="R59" i="10"/>
  <c r="S59" i="10"/>
  <c r="P60" i="10"/>
  <c r="T60" i="10" s="1"/>
  <c r="Q60" i="10"/>
  <c r="R60" i="10"/>
  <c r="S60" i="10"/>
  <c r="P61" i="10"/>
  <c r="T61" i="10" s="1"/>
  <c r="Q61" i="10"/>
  <c r="R61" i="10"/>
  <c r="S61" i="10"/>
  <c r="P62" i="10"/>
  <c r="T62" i="10" s="1"/>
  <c r="Q62" i="10"/>
  <c r="R62" i="10"/>
  <c r="S62" i="10"/>
  <c r="P63" i="10"/>
  <c r="T63" i="10" s="1"/>
  <c r="Q63" i="10"/>
  <c r="R63" i="10"/>
  <c r="S63" i="10"/>
  <c r="P64" i="10"/>
  <c r="T64" i="10" s="1"/>
  <c r="Q64" i="10"/>
  <c r="R64" i="10"/>
  <c r="S64" i="10"/>
  <c r="P65" i="10"/>
  <c r="T65" i="10" s="1"/>
  <c r="Q65" i="10"/>
  <c r="R65" i="10"/>
  <c r="S65" i="10"/>
  <c r="P66" i="10"/>
  <c r="T66" i="10" s="1"/>
  <c r="Q66" i="10"/>
  <c r="R66" i="10"/>
  <c r="S66" i="10"/>
  <c r="P67" i="10"/>
  <c r="T67" i="10" s="1"/>
  <c r="Q67" i="10"/>
  <c r="R67" i="10"/>
  <c r="S67" i="10"/>
  <c r="P68" i="10"/>
  <c r="T68" i="10" s="1"/>
  <c r="Q68" i="10"/>
  <c r="R68" i="10"/>
  <c r="S68" i="10"/>
  <c r="P69" i="10"/>
  <c r="T69" i="10" s="1"/>
  <c r="Q69" i="10"/>
  <c r="R69" i="10"/>
  <c r="S69" i="10"/>
  <c r="P70" i="10"/>
  <c r="T70" i="10" s="1"/>
  <c r="Q70" i="10"/>
  <c r="R70" i="10"/>
  <c r="S70" i="10"/>
  <c r="P71" i="10"/>
  <c r="T71" i="10" s="1"/>
  <c r="Q71" i="10"/>
  <c r="R71" i="10"/>
  <c r="S71" i="10"/>
  <c r="P72" i="10"/>
  <c r="T72" i="10" s="1"/>
  <c r="Q72" i="10"/>
  <c r="R72" i="10"/>
  <c r="S72" i="10"/>
  <c r="P73" i="10"/>
  <c r="T73" i="10" s="1"/>
  <c r="Q73" i="10"/>
  <c r="R73" i="10"/>
  <c r="S73" i="10"/>
  <c r="Q74" i="10"/>
  <c r="R74" i="10"/>
  <c r="S74" i="10"/>
  <c r="T74" i="10"/>
  <c r="P75" i="10"/>
  <c r="T75" i="10" s="1"/>
  <c r="Q75" i="10"/>
  <c r="R75" i="10"/>
  <c r="S75" i="10"/>
  <c r="P76" i="10"/>
  <c r="T76" i="10" s="1"/>
  <c r="Q76" i="10"/>
  <c r="R76" i="10"/>
  <c r="S76" i="10"/>
  <c r="Q77" i="10"/>
  <c r="R77" i="10"/>
  <c r="S77" i="10"/>
  <c r="T77" i="10"/>
  <c r="P78" i="10"/>
  <c r="T78" i="10" s="1"/>
  <c r="Q78" i="10"/>
  <c r="R78" i="10"/>
  <c r="S78" i="10"/>
  <c r="P79" i="10"/>
  <c r="T79" i="10" s="1"/>
  <c r="Q79" i="10"/>
  <c r="R79" i="10"/>
  <c r="S79" i="10"/>
  <c r="P80" i="10"/>
  <c r="T80" i="10" s="1"/>
  <c r="Q80" i="10"/>
  <c r="R80" i="10"/>
  <c r="S80" i="10"/>
  <c r="Q81" i="10"/>
  <c r="R81" i="10"/>
  <c r="S81" i="10"/>
  <c r="T81" i="10"/>
  <c r="P82" i="10"/>
  <c r="T82" i="10" s="1"/>
  <c r="Q82" i="10"/>
  <c r="R82" i="10"/>
  <c r="S82" i="10"/>
  <c r="Q83" i="10"/>
  <c r="R83" i="10"/>
  <c r="S83" i="10"/>
  <c r="T83" i="10"/>
  <c r="F84" i="10"/>
  <c r="Q51" i="9"/>
  <c r="D16" i="9" s="1"/>
  <c r="P51" i="9"/>
  <c r="D15" i="9" s="1"/>
  <c r="O51" i="9"/>
  <c r="D14" i="9" s="1"/>
  <c r="N51" i="9"/>
  <c r="D13" i="9" s="1"/>
  <c r="M51" i="9"/>
  <c r="D12" i="9" s="1"/>
  <c r="L51" i="9"/>
  <c r="D11" i="9" s="1"/>
  <c r="K51" i="9"/>
  <c r="D10" i="9" s="1"/>
  <c r="J51" i="9"/>
  <c r="D9" i="9" s="1"/>
  <c r="I51" i="9"/>
  <c r="D8" i="9" s="1"/>
  <c r="H51" i="9"/>
  <c r="D7" i="9" s="1"/>
  <c r="O51" i="8"/>
  <c r="D14" i="8" s="1"/>
  <c r="N51" i="8"/>
  <c r="D13" i="8" s="1"/>
  <c r="M51" i="8"/>
  <c r="D12" i="8" s="1"/>
  <c r="L51" i="8"/>
  <c r="D11" i="8" s="1"/>
  <c r="K51" i="8"/>
  <c r="D10" i="8" s="1"/>
  <c r="J51" i="8"/>
  <c r="D9" i="8" s="1"/>
  <c r="I51" i="8"/>
  <c r="D8" i="8" s="1"/>
  <c r="H51" i="8"/>
  <c r="D7" i="8" s="1"/>
  <c r="O51" i="6"/>
  <c r="D14" i="6" s="1"/>
  <c r="N51" i="6"/>
  <c r="D13" i="6" s="1"/>
  <c r="M51" i="6"/>
  <c r="D12" i="6" s="1"/>
  <c r="L51" i="6"/>
  <c r="D11" i="6" s="1"/>
  <c r="K51" i="6"/>
  <c r="D10" i="6" s="1"/>
  <c r="J51" i="6"/>
  <c r="D9" i="6" s="1"/>
  <c r="I51" i="6"/>
  <c r="D8" i="6" s="1"/>
  <c r="H51" i="6"/>
  <c r="D7" i="6" s="1"/>
  <c r="Q51" i="4"/>
  <c r="D16" i="4" s="1"/>
  <c r="P51" i="4"/>
  <c r="D15" i="4" s="1"/>
  <c r="O51" i="4"/>
  <c r="D14" i="4" s="1"/>
  <c r="N51" i="4"/>
  <c r="D13" i="4" s="1"/>
  <c r="M51" i="4"/>
  <c r="D12" i="4" s="1"/>
  <c r="L51" i="4"/>
  <c r="D11" i="4" s="1"/>
  <c r="K51" i="4"/>
  <c r="D10" i="4" s="1"/>
  <c r="J51" i="4"/>
  <c r="D9" i="4" s="1"/>
  <c r="I51" i="4"/>
  <c r="D8" i="4" s="1"/>
  <c r="H51" i="4"/>
  <c r="D7" i="4" s="1"/>
  <c r="H51" i="3"/>
  <c r="T24" i="11" l="1"/>
  <c r="Y12" i="11"/>
  <c r="T25" i="11"/>
  <c r="J27" i="11"/>
  <c r="M27" i="11" s="1"/>
  <c r="T10" i="11"/>
  <c r="V10" i="11" s="1"/>
  <c r="W10" i="11" s="1"/>
  <c r="J23" i="11"/>
  <c r="M23" i="11" s="1"/>
  <c r="J9" i="11"/>
  <c r="M9" i="11" s="1"/>
  <c r="Y27" i="11"/>
  <c r="J19" i="11"/>
  <c r="M19" i="11" s="1"/>
  <c r="Y23" i="11"/>
  <c r="T23" i="11"/>
  <c r="V23" i="11" s="1"/>
  <c r="W23" i="11" s="1"/>
  <c r="T11" i="11"/>
  <c r="V11" i="11" s="1"/>
  <c r="W11" i="11" s="1"/>
  <c r="T19" i="11"/>
  <c r="V19" i="11" s="1"/>
  <c r="W19" i="11" s="1"/>
  <c r="T14" i="11"/>
  <c r="V14" i="11" s="1"/>
  <c r="W14" i="11" s="1"/>
  <c r="T17" i="11"/>
  <c r="V17" i="11" s="1"/>
  <c r="W17" i="11" s="1"/>
  <c r="T12" i="11"/>
  <c r="V12" i="11" s="1"/>
  <c r="W12" i="11" s="1"/>
  <c r="T27" i="11"/>
  <c r="V27" i="11" s="1"/>
  <c r="W27" i="11" s="1"/>
  <c r="T22" i="11"/>
  <c r="V22" i="11" s="1"/>
  <c r="W22" i="11" s="1"/>
  <c r="T20" i="11"/>
  <c r="V20" i="11" s="1"/>
  <c r="W20" i="11" s="1"/>
  <c r="T8" i="11"/>
  <c r="V8" i="11" s="1"/>
  <c r="W8" i="11" s="1"/>
  <c r="T6" i="11"/>
  <c r="V6" i="11" s="1"/>
  <c r="W6" i="11" s="1"/>
  <c r="V24" i="11"/>
  <c r="W24" i="11" s="1"/>
  <c r="T21" i="11"/>
  <c r="V21" i="11" s="1"/>
  <c r="W21" i="11" s="1"/>
  <c r="J13" i="11"/>
  <c r="M13" i="11" s="1"/>
  <c r="Y8" i="11"/>
  <c r="T7" i="11"/>
  <c r="V7" i="11" s="1"/>
  <c r="W7" i="11" s="1"/>
  <c r="Y26" i="11"/>
  <c r="J21" i="11"/>
  <c r="M21" i="11" s="1"/>
  <c r="T18" i="11"/>
  <c r="V18" i="11" s="1"/>
  <c r="Y16" i="11"/>
  <c r="T15" i="11"/>
  <c r="V15" i="11" s="1"/>
  <c r="W15" i="11" s="1"/>
  <c r="V25" i="11"/>
  <c r="W25" i="11" s="1"/>
  <c r="Y20" i="11"/>
  <c r="T26" i="11"/>
  <c r="V26" i="11" s="1"/>
  <c r="W26" i="11" s="1"/>
  <c r="N23" i="11"/>
  <c r="T16" i="11"/>
  <c r="V16" i="11" s="1"/>
  <c r="W16" i="11" s="1"/>
  <c r="J11" i="11"/>
  <c r="T9" i="11"/>
  <c r="V9" i="11" s="1"/>
  <c r="W9" i="11" s="1"/>
  <c r="K28" i="11"/>
  <c r="L13" i="11" s="1"/>
  <c r="J15" i="11"/>
  <c r="T13" i="11"/>
  <c r="V13" i="11" s="1"/>
  <c r="W13" i="11" s="1"/>
  <c r="Q84" i="10"/>
  <c r="S84" i="10"/>
  <c r="R84" i="10"/>
  <c r="T84" i="10"/>
  <c r="I6" i="10" s="1"/>
  <c r="I5" i="10" s="1"/>
  <c r="J25" i="11"/>
  <c r="J22" i="11"/>
  <c r="J18" i="11"/>
  <c r="J14" i="11"/>
  <c r="J10" i="11"/>
  <c r="J6" i="11"/>
  <c r="Y24" i="11"/>
  <c r="Y21" i="11"/>
  <c r="Y17" i="11"/>
  <c r="Y13" i="11"/>
  <c r="Y9" i="11"/>
  <c r="N17" i="11"/>
  <c r="J7" i="11"/>
  <c r="J26" i="11"/>
  <c r="Y22" i="11"/>
  <c r="Y18" i="11"/>
  <c r="Y14" i="11"/>
  <c r="Y10" i="11"/>
  <c r="Y6" i="11"/>
  <c r="Y25" i="11"/>
  <c r="J20" i="11"/>
  <c r="J16" i="11"/>
  <c r="J12" i="11"/>
  <c r="J8" i="11"/>
  <c r="J24" i="11"/>
  <c r="Y19" i="11"/>
  <c r="W18" i="11"/>
  <c r="Y15" i="11"/>
  <c r="Y11" i="11"/>
  <c r="Y7" i="11"/>
  <c r="O51" i="3"/>
  <c r="D14" i="3" s="1"/>
  <c r="N51" i="3"/>
  <c r="D13" i="3" s="1"/>
  <c r="M51" i="3"/>
  <c r="D12" i="3" s="1"/>
  <c r="L51" i="3"/>
  <c r="D11" i="3" s="1"/>
  <c r="K51" i="3"/>
  <c r="D10" i="3" s="1"/>
  <c r="J51" i="3"/>
  <c r="D9" i="3" s="1"/>
  <c r="I51" i="3"/>
  <c r="D8" i="3" s="1"/>
  <c r="D7" i="3"/>
  <c r="N9" i="11" l="1"/>
  <c r="N13" i="11"/>
  <c r="N27" i="11"/>
  <c r="N19" i="11"/>
  <c r="N21" i="11"/>
  <c r="L10" i="11"/>
  <c r="L6" i="11"/>
  <c r="L8" i="11"/>
  <c r="L24" i="11"/>
  <c r="D7" i="11"/>
  <c r="L26" i="11"/>
  <c r="M15" i="11"/>
  <c r="N15" i="11"/>
  <c r="L14" i="11"/>
  <c r="L22" i="11"/>
  <c r="L19" i="11"/>
  <c r="L23" i="11"/>
  <c r="L18" i="11"/>
  <c r="L25" i="11"/>
  <c r="L11" i="11"/>
  <c r="L17" i="11"/>
  <c r="L20" i="11"/>
  <c r="W28" i="11"/>
  <c r="X22" i="11" s="1"/>
  <c r="L16" i="11"/>
  <c r="L9" i="11"/>
  <c r="M11" i="11"/>
  <c r="N11" i="11"/>
  <c r="L27" i="11"/>
  <c r="L12" i="11"/>
  <c r="L15" i="11"/>
  <c r="L21" i="11"/>
  <c r="L7" i="11"/>
  <c r="M24" i="11"/>
  <c r="N24" i="11"/>
  <c r="M25" i="11"/>
  <c r="N25" i="11"/>
  <c r="M12" i="11"/>
  <c r="N12" i="11"/>
  <c r="N7" i="11"/>
  <c r="M7" i="11"/>
  <c r="M6" i="11"/>
  <c r="N6" i="11"/>
  <c r="I8" i="10"/>
  <c r="M18" i="11"/>
  <c r="N18" i="11"/>
  <c r="M22" i="11"/>
  <c r="N22" i="11"/>
  <c r="M8" i="11"/>
  <c r="N8" i="11"/>
  <c r="M10" i="11"/>
  <c r="N10" i="11"/>
  <c r="Y28" i="11"/>
  <c r="V60" i="11" s="1"/>
  <c r="N26" i="11"/>
  <c r="M26" i="11"/>
  <c r="M16" i="11"/>
  <c r="N16" i="11"/>
  <c r="M20" i="11"/>
  <c r="N20" i="11"/>
  <c r="M14" i="11"/>
  <c r="N14" i="11"/>
  <c r="I7" i="10"/>
  <c r="H51" i="1"/>
  <c r="D7" i="1" s="1"/>
  <c r="I51" i="1"/>
  <c r="D8" i="1" s="1"/>
  <c r="J51" i="1"/>
  <c r="D9" i="1" s="1"/>
  <c r="K51" i="1"/>
  <c r="D10" i="1" s="1"/>
  <c r="L51" i="1"/>
  <c r="D11" i="1" s="1"/>
  <c r="M51" i="1"/>
  <c r="D12" i="1" s="1"/>
  <c r="N51" i="1"/>
  <c r="D13" i="1" s="1"/>
  <c r="O51" i="1"/>
  <c r="D14" i="1" s="1"/>
  <c r="P51" i="1"/>
  <c r="D15" i="1" s="1"/>
  <c r="Q51" i="1"/>
  <c r="D16" i="1" s="1"/>
  <c r="R51" i="1"/>
  <c r="D17" i="1" s="1"/>
  <c r="X23" i="11" l="1"/>
  <c r="X7" i="11"/>
  <c r="X16" i="11"/>
  <c r="X8" i="11"/>
  <c r="X27" i="11"/>
  <c r="X9" i="11"/>
  <c r="X6" i="11"/>
  <c r="X26" i="11"/>
  <c r="X25" i="11"/>
  <c r="X14" i="11"/>
  <c r="X20" i="11"/>
  <c r="X17" i="11"/>
  <c r="X19" i="11"/>
  <c r="X18" i="11"/>
  <c r="X13" i="11"/>
  <c r="X24" i="11"/>
  <c r="X10" i="11"/>
  <c r="X11" i="11"/>
  <c r="X21" i="11"/>
  <c r="M28" i="11"/>
  <c r="D8" i="11" s="1"/>
  <c r="X15" i="11"/>
  <c r="X12" i="11"/>
  <c r="I9" i="10"/>
  <c r="I10" i="10" s="1"/>
  <c r="I16" i="10" s="1"/>
  <c r="I17" i="10" s="1"/>
  <c r="N28" i="11"/>
  <c r="D9" i="11" s="1"/>
  <c r="X28" i="11" l="1"/>
  <c r="V59" i="11" s="1"/>
  <c r="V62" i="11" s="1"/>
  <c r="V61" i="11" l="1"/>
  <c r="X60" i="11" s="1"/>
  <c r="X61" i="11" l="1"/>
  <c r="X62" i="11" s="1"/>
  <c r="D10" i="11" s="1"/>
  <c r="D11" i="11" s="1"/>
</calcChain>
</file>

<file path=xl/sharedStrings.xml><?xml version="1.0" encoding="utf-8"?>
<sst xmlns="http://schemas.openxmlformats.org/spreadsheetml/2006/main" count="1894" uniqueCount="806">
  <si>
    <t>l/h</t>
  </si>
  <si>
    <t>ml/s</t>
  </si>
  <si>
    <t>gal/h</t>
  </si>
  <si>
    <t>m³/d</t>
  </si>
  <si>
    <t>l/min</t>
  </si>
  <si>
    <t>gal/min</t>
  </si>
  <si>
    <t>m³/h</t>
  </si>
  <si>
    <t>ft³/min</t>
  </si>
  <si>
    <t>l/s</t>
  </si>
  <si>
    <t>ft³/s</t>
  </si>
  <si>
    <t>m³/s</t>
  </si>
  <si>
    <t>0.2200</t>
  </si>
  <si>
    <t>3.666e-3</t>
  </si>
  <si>
    <t>1e-3</t>
  </si>
  <si>
    <t>5.886e-4</t>
  </si>
  <si>
    <t>2.778e-4</t>
  </si>
  <si>
    <t>9.810e-6</t>
  </si>
  <si>
    <t>2.778e-7</t>
  </si>
  <si>
    <t>.08640</t>
  </si>
  <si>
    <t>0.0600</t>
  </si>
  <si>
    <t>0.01320</t>
  </si>
  <si>
    <t>3.6e-3</t>
  </si>
  <si>
    <t>2.119e-3</t>
  </si>
  <si>
    <t>3.532e-5</t>
  </si>
  <si>
    <t>1e-6</t>
  </si>
  <si>
    <t>.01667</t>
  </si>
  <si>
    <t>4.546e-3</t>
  </si>
  <si>
    <t>2.676e-3</t>
  </si>
  <si>
    <t>1.263e-3</t>
  </si>
  <si>
    <t>4.460e-5</t>
  </si>
  <si>
    <t>1.263e-6</t>
  </si>
  <si>
    <t>4.087e-4</t>
  </si>
  <si>
    <t>1.157e-5</t>
  </si>
  <si>
    <t>13.20</t>
  </si>
  <si>
    <t>1.667e-5</t>
  </si>
  <si>
    <t>7.577e-5</t>
  </si>
  <si>
    <t>220.0</t>
  </si>
  <si>
    <t>9.810e-3</t>
  </si>
  <si>
    <t>4.719e-4</t>
  </si>
  <si>
    <t>792.0</t>
  </si>
  <si>
    <t>86.40</t>
  </si>
  <si>
    <t>1.019e5</t>
  </si>
  <si>
    <t>2.832e4</t>
  </si>
  <si>
    <t>2.242e4</t>
  </si>
  <si>
    <t>3.6e6</t>
  </si>
  <si>
    <t>1e6</t>
  </si>
  <si>
    <t>7.919e5</t>
  </si>
  <si>
    <t>8.64e4</t>
  </si>
  <si>
    <t>6e4</t>
  </si>
  <si>
    <t>1.32e4</t>
  </si>
  <si>
    <t>gal = UK (imperial) gallon</t>
  </si>
  <si>
    <t>1 US gal = 0.833 UK gal</t>
  </si>
  <si>
    <r>
      <t>Concentration: PPM = ml/m</t>
    </r>
    <r>
      <rPr>
        <vertAlign val="superscript"/>
        <sz val="9"/>
        <color rgb="FF7A7885"/>
        <rFont val="Inherit"/>
      </rPr>
      <t>3</t>
    </r>
  </si>
  <si>
    <t>mm</t>
  </si>
  <si>
    <t>1.60934e6</t>
  </si>
  <si>
    <t>cm</t>
  </si>
  <si>
    <t>1e5</t>
  </si>
  <si>
    <t>in</t>
  </si>
  <si>
    <t>ft</t>
  </si>
  <si>
    <t>3.2808e-3</t>
  </si>
  <si>
    <t>yd</t>
  </si>
  <si>
    <t>1.0936e-3</t>
  </si>
  <si>
    <t>m</t>
  </si>
  <si>
    <t>km</t>
  </si>
  <si>
    <t>3.048e-4</t>
  </si>
  <si>
    <t>9.144e-4</t>
  </si>
  <si>
    <t>mile</t>
  </si>
  <si>
    <t>1.894e-4</t>
  </si>
  <si>
    <t>5.682e-4</t>
  </si>
  <si>
    <t>6.214e-4</t>
  </si>
  <si>
    <t>1µm (micron) = 1e-6 m</t>
  </si>
  <si>
    <t>1Å (ångstrom) = 1e-10 m</t>
  </si>
  <si>
    <t>1 nautical mile = 6080 ft</t>
  </si>
  <si>
    <t>mm²</t>
  </si>
  <si>
    <t>cm²</t>
  </si>
  <si>
    <t>in²</t>
  </si>
  <si>
    <t>ft²</t>
  </si>
  <si>
    <t>yd²</t>
  </si>
  <si>
    <t>m²</t>
  </si>
  <si>
    <t>acre</t>
  </si>
  <si>
    <t>ha</t>
  </si>
  <si>
    <t>km²</t>
  </si>
  <si>
    <t>mile²</t>
  </si>
  <si>
    <t>1.550e-3</t>
  </si>
  <si>
    <t>1076e-5</t>
  </si>
  <si>
    <t>1.196e-6</t>
  </si>
  <si>
    <t>0.1550</t>
  </si>
  <si>
    <t>1.076e-3</t>
  </si>
  <si>
    <t>1.196e-4</t>
  </si>
  <si>
    <t>1e-4</t>
  </si>
  <si>
    <t>6.9444e-3</t>
  </si>
  <si>
    <t>7.7161e-4</t>
  </si>
  <si>
    <t>6.452e-4</t>
  </si>
  <si>
    <t>2.3e-5</t>
  </si>
  <si>
    <t>9.29e-6</t>
  </si>
  <si>
    <t>9.29e-8</t>
  </si>
  <si>
    <t>3.587e-8</t>
  </si>
  <si>
    <t>2.066e-5</t>
  </si>
  <si>
    <t>8.361e-5</t>
  </si>
  <si>
    <t>8.361e-7</t>
  </si>
  <si>
    <t>3.228e-7</t>
  </si>
  <si>
    <t>2.471e-4</t>
  </si>
  <si>
    <t>3.861e-7</t>
  </si>
  <si>
    <t>4.047e-3</t>
  </si>
  <si>
    <t>1.5625e-3</t>
  </si>
  <si>
    <t>3.861e-3</t>
  </si>
  <si>
    <t>1.0764e7</t>
  </si>
  <si>
    <t>1.196e6</t>
  </si>
  <si>
    <t>2.7878e7</t>
  </si>
  <si>
    <t>3.097e6</t>
  </si>
  <si>
    <t>2.590e6</t>
  </si>
  <si>
    <t>259.0</t>
  </si>
  <si>
    <t>2.590</t>
  </si>
  <si>
    <t>cm³</t>
  </si>
  <si>
    <t>in³</t>
  </si>
  <si>
    <t>litres</t>
  </si>
  <si>
    <t>US gal</t>
  </si>
  <si>
    <t>UK gal</t>
  </si>
  <si>
    <t>ft³</t>
  </si>
  <si>
    <t>yd³</t>
  </si>
  <si>
    <t>m³</t>
  </si>
  <si>
    <t>2.642e-4</t>
  </si>
  <si>
    <t>2.200e-4</t>
  </si>
  <si>
    <t>1.308e-6</t>
  </si>
  <si>
    <t>4.329e-3</t>
  </si>
  <si>
    <t>3.605e-3</t>
  </si>
  <si>
    <t>5.787e-4</t>
  </si>
  <si>
    <t>2.143e-5</t>
  </si>
  <si>
    <t>1.639e-5</t>
  </si>
  <si>
    <t>.2200</t>
  </si>
  <si>
    <t>1.308e-3</t>
  </si>
  <si>
    <t>1.00e-3</t>
  </si>
  <si>
    <t>231.0</t>
  </si>
  <si>
    <t>4.951e-3</t>
  </si>
  <si>
    <t>3.785e-3</t>
  </si>
  <si>
    <t>5.946e-3</t>
  </si>
  <si>
    <t>7.6453e5</t>
  </si>
  <si>
    <t>202.0</t>
  </si>
  <si>
    <t>1000.0</t>
  </si>
  <si>
    <t xml:space="preserve">1sm³ (15ºC) = 35.3828 scf (60ºF) </t>
  </si>
  <si>
    <t>1 UK pint = 568.2 ml</t>
  </si>
  <si>
    <t>SI System</t>
  </si>
  <si>
    <t>1m³ = 6.28981057 bbl</t>
  </si>
  <si>
    <t>1m³ = 6.293 bbl</t>
  </si>
  <si>
    <t xml:space="preserve">Volume in sm³ = 1.055 × Volume in Nm³
</t>
  </si>
  <si>
    <t xml:space="preserve">Volume in Nm³ = Volume in sm³  ÷ 1.055
</t>
  </si>
  <si>
    <t>m/s</t>
  </si>
  <si>
    <t>ft/min</t>
  </si>
  <si>
    <t>cm/s</t>
  </si>
  <si>
    <t>km/h</t>
  </si>
  <si>
    <t>ft/s</t>
  </si>
  <si>
    <t>mile/h</t>
  </si>
  <si>
    <t>km/s</t>
  </si>
  <si>
    <t>3.281e-3</t>
  </si>
  <si>
    <t>2.237e-3</t>
  </si>
  <si>
    <t>5.08e-3</t>
  </si>
  <si>
    <t>5.08e-6</t>
  </si>
  <si>
    <t>1e-5</t>
  </si>
  <si>
    <t>4.470e-4</t>
  </si>
  <si>
    <t>196.850</t>
  </si>
  <si>
    <t>1e3</t>
  </si>
  <si>
    <t>1 international knot (kn) = 1.852 km/h (exactly)</t>
  </si>
  <si>
    <t>1 UK knot = 1.853 km/h</t>
  </si>
  <si>
    <t>US to SI System</t>
  </si>
  <si>
    <t>Molecular Weight</t>
  </si>
  <si>
    <t>MW</t>
  </si>
  <si>
    <t>Compressibility</t>
  </si>
  <si>
    <t>z</t>
  </si>
  <si>
    <t>Deg Kelvin (K)</t>
  </si>
  <si>
    <t>Temperature</t>
  </si>
  <si>
    <t>T</t>
  </si>
  <si>
    <t>Universal Gas Constant</t>
  </si>
  <si>
    <t>R</t>
  </si>
  <si>
    <t>moles</t>
  </si>
  <si>
    <t>n</t>
  </si>
  <si>
    <t>Specific Volume</t>
  </si>
  <si>
    <t>v</t>
  </si>
  <si>
    <t>CO2</t>
  </si>
  <si>
    <t>bara</t>
  </si>
  <si>
    <t>Pressure</t>
  </si>
  <si>
    <t>P</t>
  </si>
  <si>
    <t>Ar</t>
  </si>
  <si>
    <t>Nomenclature</t>
  </si>
  <si>
    <t>O2</t>
  </si>
  <si>
    <t>N2</t>
  </si>
  <si>
    <t>(28.9641)</t>
  </si>
  <si>
    <t>Air</t>
  </si>
  <si>
    <t xml:space="preserve"> </t>
  </si>
  <si>
    <t>Water</t>
  </si>
  <si>
    <t>H2O</t>
  </si>
  <si>
    <t>Carbon dioxide</t>
  </si>
  <si>
    <t>Oxygen</t>
  </si>
  <si>
    <t>Nitrogen</t>
  </si>
  <si>
    <t>Argon</t>
  </si>
  <si>
    <t>Helium</t>
  </si>
  <si>
    <t>He</t>
  </si>
  <si>
    <t>Hydrogen sulphide</t>
  </si>
  <si>
    <t>H2S</t>
  </si>
  <si>
    <t>Carbon monoxide</t>
  </si>
  <si>
    <t>CO</t>
  </si>
  <si>
    <t>Hydrogen</t>
  </si>
  <si>
    <t>H2</t>
  </si>
  <si>
    <t>Toluene</t>
  </si>
  <si>
    <t>C7H8</t>
  </si>
  <si>
    <t>Benzene</t>
  </si>
  <si>
    <t>C6H6</t>
  </si>
  <si>
    <t>Methylcyclohexane</t>
  </si>
  <si>
    <t>C7H14</t>
  </si>
  <si>
    <t>Cyclohexane</t>
  </si>
  <si>
    <t>C6H12</t>
  </si>
  <si>
    <t>2.2.4-Trimethylpentane</t>
  </si>
  <si>
    <t>C8H18</t>
  </si>
  <si>
    <t>Octane</t>
  </si>
  <si>
    <t>C8</t>
  </si>
  <si>
    <t>3-Methylhexane</t>
  </si>
  <si>
    <t>C7H16</t>
  </si>
  <si>
    <t>2-Methylhexane</t>
  </si>
  <si>
    <t>Heptane</t>
  </si>
  <si>
    <t>C7</t>
  </si>
  <si>
    <t>2.3-Dimethylbutane</t>
  </si>
  <si>
    <t>C6H14</t>
  </si>
  <si>
    <t>2.2-Dimethylbutane</t>
  </si>
  <si>
    <t>3-Methylpentane</t>
  </si>
  <si>
    <t>2-Methylpentane</t>
  </si>
  <si>
    <t>Hexane</t>
  </si>
  <si>
    <t>C6</t>
  </si>
  <si>
    <t>2.2-Dimethylpropane</t>
  </si>
  <si>
    <t>C5H12</t>
  </si>
  <si>
    <t>2-Methylbutane</t>
  </si>
  <si>
    <t>iC5</t>
  </si>
  <si>
    <t>Pentane</t>
  </si>
  <si>
    <t>nC5</t>
  </si>
  <si>
    <t>2-Methylpropane</t>
  </si>
  <si>
    <t>C4H10</t>
  </si>
  <si>
    <t>iC4</t>
  </si>
  <si>
    <t xml:space="preserve">Butane </t>
  </si>
  <si>
    <t>nC4</t>
  </si>
  <si>
    <t>Propane</t>
  </si>
  <si>
    <t>C3H8</t>
  </si>
  <si>
    <t>C3</t>
  </si>
  <si>
    <t>Ethane</t>
  </si>
  <si>
    <t>C2H6</t>
  </si>
  <si>
    <t>C2</t>
  </si>
  <si>
    <t>Methane</t>
  </si>
  <si>
    <t>CH4</t>
  </si>
  <si>
    <t>C1</t>
  </si>
  <si>
    <t>(A*K)</t>
  </si>
  <si>
    <t>(A*H)</t>
  </si>
  <si>
    <t>(A*G)</t>
  </si>
  <si>
    <t>(A*I)</t>
  </si>
  <si>
    <t>kJ/mol</t>
  </si>
  <si>
    <t>Fraction</t>
  </si>
  <si>
    <t>Mass</t>
  </si>
  <si>
    <t>Factor</t>
  </si>
  <si>
    <t>Molecular</t>
  </si>
  <si>
    <t>Comp Factor</t>
  </si>
  <si>
    <t>Hi</t>
  </si>
  <si>
    <t>Hs</t>
  </si>
  <si>
    <t>Formula</t>
  </si>
  <si>
    <t>Composition</t>
  </si>
  <si>
    <t>Component</t>
  </si>
  <si>
    <t xml:space="preserve">Moles (n)      </t>
  </si>
  <si>
    <t>Mole Weight</t>
  </si>
  <si>
    <t>Pv = nRTz = RTzm/MW</t>
  </si>
  <si>
    <t>Real Density</t>
  </si>
  <si>
    <t>Real Relative Density</t>
  </si>
  <si>
    <t xml:space="preserve">Line Density </t>
  </si>
  <si>
    <t>'C</t>
  </si>
  <si>
    <t>Temp.</t>
  </si>
  <si>
    <t xml:space="preserve">z Mix  </t>
  </si>
  <si>
    <t xml:space="preserve">Specific Volume </t>
  </si>
  <si>
    <t>Bara</t>
  </si>
  <si>
    <t>Real Superior CV</t>
  </si>
  <si>
    <t xml:space="preserve">PVT Calculation  </t>
  </si>
  <si>
    <t>ISO 6976-1983(E)</t>
  </si>
  <si>
    <t>Z(i) &gt;</t>
  </si>
  <si>
    <t>ZB &gt;</t>
  </si>
  <si>
    <t>FNG &gt;</t>
  </si>
  <si>
    <t>ZA &gt;</t>
  </si>
  <si>
    <t>FNF &gt;</t>
  </si>
  <si>
    <t>BB &gt;</t>
  </si>
  <si>
    <t>IF(ITER=1,1,W44)</t>
  </si>
  <si>
    <t>Z(i-1) &gt;</t>
  </si>
  <si>
    <t>AA &gt;</t>
  </si>
  <si>
    <t>Delta &gt;</t>
  </si>
  <si>
    <t>B</t>
  </si>
  <si>
    <t>A</t>
  </si>
  <si>
    <t>S</t>
  </si>
  <si>
    <t>TOTALS</t>
  </si>
  <si>
    <t xml:space="preserve">  spare</t>
  </si>
  <si>
    <t>n-Octane</t>
  </si>
  <si>
    <t>n-Heptane</t>
  </si>
  <si>
    <t>n-Hexane</t>
  </si>
  <si>
    <t>n-Pentane</t>
  </si>
  <si>
    <t>i-Pentane</t>
  </si>
  <si>
    <t>n-Butane</t>
  </si>
  <si>
    <t>i-Butane</t>
  </si>
  <si>
    <t/>
  </si>
  <si>
    <t>B(i)</t>
  </si>
  <si>
    <t>Q(i)</t>
  </si>
  <si>
    <t>ZZ</t>
  </si>
  <si>
    <t>A(i)</t>
  </si>
  <si>
    <t>AC(i)</t>
  </si>
  <si>
    <t>AL(i)</t>
  </si>
  <si>
    <t>TR(i)</t>
  </si>
  <si>
    <t>M(i)</t>
  </si>
  <si>
    <t>deg K</t>
  </si>
  <si>
    <t>bar a</t>
  </si>
  <si>
    <t>V*Tcrit</t>
  </si>
  <si>
    <t>V*Pcrit</t>
  </si>
  <si>
    <t>Weight</t>
  </si>
  <si>
    <t>Volume</t>
  </si>
  <si>
    <t>Acentric</t>
  </si>
  <si>
    <t>T crit</t>
  </si>
  <si>
    <t>P crit</t>
  </si>
  <si>
    <t>Moles or</t>
  </si>
  <si>
    <t>°C</t>
  </si>
  <si>
    <t>Gas Density using the SRK Equation of State</t>
  </si>
  <si>
    <r>
      <t>kg/m</t>
    </r>
    <r>
      <rPr>
        <vertAlign val="superscript"/>
        <sz val="10"/>
        <rFont val="Calibri"/>
        <family val="2"/>
        <scheme val="minor"/>
      </rPr>
      <t>3</t>
    </r>
  </si>
  <si>
    <r>
      <t>m</t>
    </r>
    <r>
      <rPr>
        <vertAlign val="superscript"/>
        <sz val="10"/>
        <rFont val="Calibri"/>
        <family val="2"/>
      </rPr>
      <t>3</t>
    </r>
    <r>
      <rPr>
        <sz val="10"/>
        <rFont val="Calibri"/>
        <family val="2"/>
        <scheme val="minor"/>
      </rPr>
      <t>/kg</t>
    </r>
  </si>
  <si>
    <r>
      <t>(bar)(m</t>
    </r>
    <r>
      <rPr>
        <vertAlign val="superscript"/>
        <sz val="10"/>
        <rFont val="Calibri"/>
        <family val="2"/>
      </rPr>
      <t>3</t>
    </r>
    <r>
      <rPr>
        <sz val="10"/>
        <rFont val="Calibri"/>
        <family val="2"/>
        <scheme val="minor"/>
      </rPr>
      <t>)/(kmol)(K)</t>
    </r>
  </si>
  <si>
    <r>
      <t>kJ/m</t>
    </r>
    <r>
      <rPr>
        <vertAlign val="superscript"/>
        <sz val="10"/>
        <rFont val="Calibri"/>
        <family val="2"/>
        <scheme val="minor"/>
      </rPr>
      <t>3</t>
    </r>
  </si>
  <si>
    <t>Relative Molecular Mass</t>
  </si>
  <si>
    <t>Ideal Relative Density</t>
  </si>
  <si>
    <t>Ideal Density</t>
  </si>
  <si>
    <t>Ideal CV</t>
  </si>
  <si>
    <r>
      <t>Sum Factor b</t>
    </r>
    <r>
      <rPr>
        <vertAlign val="superscript"/>
        <sz val="10"/>
        <rFont val="Calibri"/>
        <family val="2"/>
      </rPr>
      <t>0.5</t>
    </r>
  </si>
  <si>
    <t>Calorific Value Fraction</t>
  </si>
  <si>
    <t>Relative Density Fraction</t>
  </si>
  <si>
    <t>Density Fraction</t>
  </si>
  <si>
    <t>Summation Factor</t>
  </si>
  <si>
    <t>ISO 6976</t>
  </si>
  <si>
    <r>
      <t>MJ/m</t>
    </r>
    <r>
      <rPr>
        <vertAlign val="superscript"/>
        <sz val="11"/>
        <rFont val="Calibri"/>
        <family val="2"/>
        <scheme val="minor"/>
      </rPr>
      <t>3</t>
    </r>
  </si>
  <si>
    <r>
      <t>kg/m</t>
    </r>
    <r>
      <rPr>
        <vertAlign val="superscript"/>
        <sz val="11"/>
        <rFont val="Calibri"/>
        <family val="2"/>
        <scheme val="minor"/>
      </rPr>
      <t>3</t>
    </r>
  </si>
  <si>
    <r>
      <t>m</t>
    </r>
    <r>
      <rPr>
        <vertAlign val="superscript"/>
        <sz val="11"/>
        <rFont val="Calibri"/>
        <family val="2"/>
        <scheme val="minor"/>
      </rPr>
      <t>3</t>
    </r>
    <r>
      <rPr>
        <sz val="11"/>
        <rFont val="Calibri"/>
        <family val="2"/>
        <scheme val="minor"/>
      </rPr>
      <t>/kg</t>
    </r>
  </si>
  <si>
    <t>Revision 17th March, 1991 (covers 15°C, 1.01325 bar)</t>
  </si>
  <si>
    <t>See below for calculation</t>
  </si>
  <si>
    <t>g</t>
  </si>
  <si>
    <t>oz</t>
  </si>
  <si>
    <t>lb</t>
  </si>
  <si>
    <t>kg</t>
  </si>
  <si>
    <t>cwt</t>
  </si>
  <si>
    <t>US ton</t>
  </si>
  <si>
    <t>tonne</t>
  </si>
  <si>
    <t>UK ton</t>
  </si>
  <si>
    <t>2.2046e-3</t>
  </si>
  <si>
    <t>.028350</t>
  </si>
  <si>
    <t>8.9286e-3</t>
  </si>
  <si>
    <t>5.00e-4</t>
  </si>
  <si>
    <t>4.53592e-4</t>
  </si>
  <si>
    <t>4.4643e-4</t>
  </si>
  <si>
    <t>35.2740</t>
  </si>
  <si>
    <t>1.1023e-3</t>
  </si>
  <si>
    <t>9.8421e-4</t>
  </si>
  <si>
    <t>0.05080</t>
  </si>
  <si>
    <t>1.0161e6</t>
  </si>
  <si>
    <t>UK ton = Long ton</t>
  </si>
  <si>
    <t>US ton = Short ton</t>
  </si>
  <si>
    <t>kg/m³</t>
  </si>
  <si>
    <t>lb/ft³</t>
  </si>
  <si>
    <t>lb/UK gal</t>
  </si>
  <si>
    <t>g/cm³</t>
  </si>
  <si>
    <t>ton/yd³</t>
  </si>
  <si>
    <t>lb/in³</t>
  </si>
  <si>
    <t>7.5248e-4</t>
  </si>
  <si>
    <t>3.6046e-5</t>
  </si>
  <si>
    <t>5.7870e-4</t>
  </si>
  <si>
    <t>.075080</t>
  </si>
  <si>
    <t>3.6046e-3</t>
  </si>
  <si>
    <t>62.4280</t>
  </si>
  <si>
    <t>82.9630</t>
  </si>
  <si>
    <t>Density @ 60ºF (kg/l) = Specific Gravity @ 60ºF × 0.999012</t>
  </si>
  <si>
    <t>Degrees API = (141.5 / G) - 131.5</t>
  </si>
  <si>
    <t>G = specific gravity (oil / water @ 60ºF)</t>
  </si>
  <si>
    <t>Density of air (0ºC, 1 atm) = 1.2928 g/l)</t>
  </si>
  <si>
    <t>pdl</t>
  </si>
  <si>
    <t>N</t>
  </si>
  <si>
    <t>lbf</t>
  </si>
  <si>
    <t>kgf</t>
  </si>
  <si>
    <t>kN</t>
  </si>
  <si>
    <t>UK tonf</t>
  </si>
  <si>
    <t>1.383e-4</t>
  </si>
  <si>
    <t>1.39e-5</t>
  </si>
  <si>
    <t>1.004e-4</t>
  </si>
  <si>
    <t>4.448e-3</t>
  </si>
  <si>
    <t>4.464e-4</t>
  </si>
  <si>
    <t>9.807e-3</t>
  </si>
  <si>
    <t>9.842e-4</t>
  </si>
  <si>
    <t>102.0</t>
  </si>
  <si>
    <t>72070</t>
  </si>
  <si>
    <t>The kgf is sometimes known as the kilopond (kp)</t>
  </si>
  <si>
    <t>1N = 1e5 dyn</t>
  </si>
  <si>
    <t>lb/hr</t>
  </si>
  <si>
    <t>kg/hr</t>
  </si>
  <si>
    <t>g/s</t>
  </si>
  <si>
    <t>lb/min</t>
  </si>
  <si>
    <t>te/d</t>
  </si>
  <si>
    <t>UK ton/d</t>
  </si>
  <si>
    <t>te/hr</t>
  </si>
  <si>
    <t>lb/s</t>
  </si>
  <si>
    <t>4.536e-4</t>
  </si>
  <si>
    <t>6.124e-4</t>
  </si>
  <si>
    <t>2.205e-3</t>
  </si>
  <si>
    <t>2.722e-2</t>
  </si>
  <si>
    <t>1.667e-2</t>
  </si>
  <si>
    <t>Pa</t>
  </si>
  <si>
    <t>lbf/ft²</t>
  </si>
  <si>
    <t>mbar</t>
  </si>
  <si>
    <t>mm Hg</t>
  </si>
  <si>
    <t>in H2O</t>
  </si>
  <si>
    <t>kN/m²</t>
  </si>
  <si>
    <t>in Hg</t>
  </si>
  <si>
    <t>psi</t>
  </si>
  <si>
    <t>kgf/cm²</t>
  </si>
  <si>
    <t>bar</t>
  </si>
  <si>
    <t>atm</t>
  </si>
  <si>
    <t>0.0100</t>
  </si>
  <si>
    <t>7.501e-3</t>
  </si>
  <si>
    <t>4.015e-3</t>
  </si>
  <si>
    <t>2.953e-4</t>
  </si>
  <si>
    <t>1.450e-4</t>
  </si>
  <si>
    <t>1.0198e-5</t>
  </si>
  <si>
    <t>9.869e-6</t>
  </si>
  <si>
    <t>6.944e-3</t>
  </si>
  <si>
    <t>4.8827e-4</t>
  </si>
  <si>
    <t>4.788e-4</t>
  </si>
  <si>
    <t>4.726e-4</t>
  </si>
  <si>
    <t>0.1000</t>
  </si>
  <si>
    <t>.01450</t>
  </si>
  <si>
    <t>1.0198e-3</t>
  </si>
  <si>
    <t>9.869e-4</t>
  </si>
  <si>
    <t>1.360e-3</t>
  </si>
  <si>
    <t>1.333e-3</t>
  </si>
  <si>
    <t>1.316e-3</t>
  </si>
  <si>
    <t>2.540e-3</t>
  </si>
  <si>
    <t>2.491e-3</t>
  </si>
  <si>
    <t>2.458e-3</t>
  </si>
  <si>
    <t>9.8692e-3</t>
  </si>
  <si>
    <t>13.60</t>
  </si>
  <si>
    <t>9.807e4</t>
  </si>
  <si>
    <t>14.50</t>
  </si>
  <si>
    <t>1.0133e5</t>
  </si>
  <si>
    <t>14.70</t>
  </si>
  <si>
    <t>1 Pa = 1 N/m² = 1 kg/m.s² = 10 dyn/cm²</t>
  </si>
  <si>
    <t>1 psi = 1 lbf/in²</t>
  </si>
  <si>
    <t>1 mm Hg = 1 torr (to within 1 part in 7 million)</t>
  </si>
  <si>
    <t>J</t>
  </si>
  <si>
    <t>ft.lbf</t>
  </si>
  <si>
    <t>cal</t>
  </si>
  <si>
    <t>kgf.m</t>
  </si>
  <si>
    <t>kJ</t>
  </si>
  <si>
    <t>Btu</t>
  </si>
  <si>
    <t>kcal</t>
  </si>
  <si>
    <t>MJ</t>
  </si>
  <si>
    <t>hp.h</t>
  </si>
  <si>
    <t>kWh</t>
  </si>
  <si>
    <t>Therm</t>
  </si>
  <si>
    <t>0.1020</t>
  </si>
  <si>
    <t>9.478e-4</t>
  </si>
  <si>
    <t>2.388e-4</t>
  </si>
  <si>
    <t>3.725e-7</t>
  </si>
  <si>
    <t>9.478e-9</t>
  </si>
  <si>
    <t>1.356e-3</t>
  </si>
  <si>
    <t>1.285e-3</t>
  </si>
  <si>
    <t>3.238e-4</t>
  </si>
  <si>
    <t>1.356e-6</t>
  </si>
  <si>
    <t>5.051e-7</t>
  </si>
  <si>
    <t>3.766e-7</t>
  </si>
  <si>
    <t>1.285e-8</t>
  </si>
  <si>
    <t>3.0880</t>
  </si>
  <si>
    <t>0.4270</t>
  </si>
  <si>
    <t>4.187e-3</t>
  </si>
  <si>
    <t>3.968e-3</t>
  </si>
  <si>
    <t>4.187e-6</t>
  </si>
  <si>
    <t>1.560e-6</t>
  </si>
  <si>
    <t>1.1630e-6</t>
  </si>
  <si>
    <t>3.968e-8</t>
  </si>
  <si>
    <t>7.2330</t>
  </si>
  <si>
    <t>2.3420</t>
  </si>
  <si>
    <t>9.294e-3</t>
  </si>
  <si>
    <t>2.342e-3</t>
  </si>
  <si>
    <t>9.807e-6</t>
  </si>
  <si>
    <t>3.653e-6</t>
  </si>
  <si>
    <t>2.724e-6</t>
  </si>
  <si>
    <t>9.294e-8</t>
  </si>
  <si>
    <t>3.725e-4</t>
  </si>
  <si>
    <t>9.478e-6</t>
  </si>
  <si>
    <t>252.00</t>
  </si>
  <si>
    <t>0.2520</t>
  </si>
  <si>
    <t>1.055e-3</t>
  </si>
  <si>
    <t>3.930e-4</t>
  </si>
  <si>
    <t>2.931e-4</t>
  </si>
  <si>
    <t>3088.0</t>
  </si>
  <si>
    <t>1.560e-3</t>
  </si>
  <si>
    <t>1.163e-3</t>
  </si>
  <si>
    <t>3.968e-5</t>
  </si>
  <si>
    <t>9.478e-3</t>
  </si>
  <si>
    <t>2.6845e6</t>
  </si>
  <si>
    <t>1.9800e6</t>
  </si>
  <si>
    <t>3.600e6</t>
  </si>
  <si>
    <t>2655220</t>
  </si>
  <si>
    <t>3.600</t>
  </si>
  <si>
    <t>1.3410</t>
  </si>
  <si>
    <t>1.0551e8</t>
  </si>
  <si>
    <t>7.7817e7</t>
  </si>
  <si>
    <t>2.5200e7</t>
  </si>
  <si>
    <t>1.0759e7</t>
  </si>
  <si>
    <t>1.0551e5</t>
  </si>
  <si>
    <t>1 BOE = 1.462e6 kcal = approx. 1.558 m³ of natural gas</t>
  </si>
  <si>
    <t>cal = The International Table Calorie</t>
  </si>
  <si>
    <t>1 N.m = 1 J</t>
  </si>
  <si>
    <t>1 MT Fuel Oil = 406 Therms</t>
  </si>
  <si>
    <t>1 Therm = 105.5056 MJ</t>
  </si>
  <si>
    <t>1 MMJ = 9478.170 therms</t>
  </si>
  <si>
    <t>p/therm = p/'00MJ × 1.055056</t>
  </si>
  <si>
    <t>J/m³</t>
  </si>
  <si>
    <t>Therm/ft³</t>
  </si>
  <si>
    <t>kJ/m³</t>
  </si>
  <si>
    <t>kcal/m³</t>
  </si>
  <si>
    <t>Btu/ft³</t>
  </si>
  <si>
    <t>Chu/ft³</t>
  </si>
  <si>
    <t>MJ/m³</t>
  </si>
  <si>
    <t>2.684e-5</t>
  </si>
  <si>
    <t>1.491e-5</t>
  </si>
  <si>
    <t>3.726e-4</t>
  </si>
  <si>
    <t>8.8968e-5</t>
  </si>
  <si>
    <t>5.5556e-6</t>
  </si>
  <si>
    <t>3.7258e-7</t>
  </si>
  <si>
    <t>4.187e3</t>
  </si>
  <si>
    <t>3.726e4</t>
  </si>
  <si>
    <t>6.707e4</t>
  </si>
  <si>
    <t>1.800</t>
  </si>
  <si>
    <t>1 kcal/m³ (std, sat) = 1.0171 kcal/m³ (std, dry)</t>
  </si>
  <si>
    <t>1kcal/m³ (std, dry) = 1.0548 kcal/m³ (nml, dry)</t>
  </si>
  <si>
    <t>1 MJ/m³ = 1 J/cm³</t>
  </si>
  <si>
    <t>SG = specific gravity</t>
  </si>
  <si>
    <t>°C Celsius</t>
  </si>
  <si>
    <t>°F Farenheit</t>
  </si>
  <si>
    <t>K Kelvin</t>
  </si>
  <si>
    <t>°F</t>
  </si>
  <si>
    <t>K</t>
  </si>
  <si>
    <t>C = K – 273.15</t>
  </si>
  <si>
    <t>K = C + 273.15</t>
  </si>
  <si>
    <t>°R Rankine</t>
  </si>
  <si>
    <t>°R</t>
  </si>
  <si>
    <t>°C = (°R − 491.67) × 5⁄9</t>
  </si>
  <si>
    <t>C = ( F – 32 ) x 5 / 9</t>
  </si>
  <si>
    <t>°R= (°C + 273.15) × 9 ⁄ 5</t>
  </si>
  <si>
    <t>K = °R × 5 ⁄ 9</t>
  </si>
  <si>
    <t>°F = °R − 459.67</t>
  </si>
  <si>
    <t>K = (°F + 459.67) × 5 ⁄ 9</t>
  </si>
  <si>
    <t>°R = °F + 459.67</t>
  </si>
  <si>
    <t>°F = ( K × 9 ⁄ 5 ) − 459.67</t>
  </si>
  <si>
    <t>°F = ( C x 9 / 5 ) + 32</t>
  </si>
  <si>
    <t>°R = K × 9 ⁄ 5</t>
  </si>
  <si>
    <t>exa</t>
  </si>
  <si>
    <t>E</t>
  </si>
  <si>
    <t>one quintillion</t>
  </si>
  <si>
    <t>peta</t>
  </si>
  <si>
    <t>one quadrillion</t>
  </si>
  <si>
    <t>tera</t>
  </si>
  <si>
    <t>one trillion</t>
  </si>
  <si>
    <t>giga</t>
  </si>
  <si>
    <t>G</t>
  </si>
  <si>
    <t>one billion (see note)</t>
  </si>
  <si>
    <t>mega</t>
  </si>
  <si>
    <t>M</t>
  </si>
  <si>
    <t>one million</t>
  </si>
  <si>
    <t>kilo</t>
  </si>
  <si>
    <t>k</t>
  </si>
  <si>
    <t>one thousand</t>
  </si>
  <si>
    <t>hecto</t>
  </si>
  <si>
    <t>h</t>
  </si>
  <si>
    <t>one hundred</t>
  </si>
  <si>
    <t>deka</t>
  </si>
  <si>
    <t>da</t>
  </si>
  <si>
    <t>ten</t>
  </si>
  <si>
    <t>deci</t>
  </si>
  <si>
    <t>d</t>
  </si>
  <si>
    <t>one tenth</t>
  </si>
  <si>
    <t>centi</t>
  </si>
  <si>
    <t>c</t>
  </si>
  <si>
    <t>one hundreth</t>
  </si>
  <si>
    <t>milli</t>
  </si>
  <si>
    <t>one thousandth</t>
  </si>
  <si>
    <t>micro</t>
  </si>
  <si>
    <t>0.000,001</t>
  </si>
  <si>
    <t>one millionth</t>
  </si>
  <si>
    <t>nano</t>
  </si>
  <si>
    <t>0.000,000,001</t>
  </si>
  <si>
    <t>one billionth</t>
  </si>
  <si>
    <t>pico</t>
  </si>
  <si>
    <t>p</t>
  </si>
  <si>
    <t>0.000,000,000,001</t>
  </si>
  <si>
    <t>one trillionth</t>
  </si>
  <si>
    <t>femto</t>
  </si>
  <si>
    <t>f</t>
  </si>
  <si>
    <t>0.000,000,000,000,001</t>
  </si>
  <si>
    <t>one quadrillionth</t>
  </si>
  <si>
    <t>atto</t>
  </si>
  <si>
    <t>a</t>
  </si>
  <si>
    <t>0.000,000,000,000,000,001</t>
  </si>
  <si>
    <t>one quintillionth</t>
  </si>
  <si>
    <t>°API</t>
  </si>
  <si>
    <t>Specific Gravity</t>
  </si>
  <si>
    <t>Density (kg/m³)</t>
  </si>
  <si>
    <t>bbl/Te</t>
  </si>
  <si>
    <t>SG</t>
  </si>
  <si>
    <t>** ρ = density (kg/m³)</t>
  </si>
  <si>
    <t>ρ **</t>
  </si>
  <si>
    <t>SG *</t>
  </si>
  <si>
    <t>* SG = Specific Gravity (oil/water at 60°F)</t>
  </si>
  <si>
    <t>Density</t>
  </si>
  <si>
    <t>°API = ( 141.5 / SG ) - 131.5</t>
  </si>
  <si>
    <t>SG = 141.5 / ( °API + 131.5)</t>
  </si>
  <si>
    <t>bbls/Te = 1 / ( 0.159 * SG)</t>
  </si>
  <si>
    <t>bbls/Te</t>
  </si>
  <si>
    <t>SG = 1 / ( 0.159 * bbls/Te )</t>
  </si>
  <si>
    <t>ρ = (141.5 *999) / ( °API + 131.5)</t>
  </si>
  <si>
    <t>ρ = SG * 999</t>
  </si>
  <si>
    <t>Density of water @ 60°F = 999.016 kg/m³</t>
  </si>
  <si>
    <t>Light crude</t>
  </si>
  <si>
    <t>Medium oil</t>
  </si>
  <si>
    <t>Heavy crude</t>
  </si>
  <si>
    <t>Extra Heavy crude</t>
  </si>
  <si>
    <t>&lt; 870</t>
  </si>
  <si>
    <t>870 - 920</t>
  </si>
  <si>
    <t>920 - 1000</t>
  </si>
  <si>
    <t>&gt; 1000</t>
  </si>
  <si>
    <t>&gt; 31.1</t>
  </si>
  <si>
    <t>22.3 - 31.1</t>
  </si>
  <si>
    <t>10 - 22.3</t>
  </si>
  <si>
    <t>&lt; 10</t>
  </si>
  <si>
    <t>SG = ρ / 999</t>
  </si>
  <si>
    <t>eg: to get how mm from inches, multiply by 0.0393701</t>
  </si>
  <si>
    <t>ρ = 999 / ( 0.159 * bbls/Te )</t>
  </si>
  <si>
    <t>bbls/Te = 999 / ( 0.159 * SG)</t>
  </si>
  <si>
    <t>bbl/Te=(°API+131.5) / (141.5*0.159)</t>
  </si>
  <si>
    <t>°API = B*(0.159*141.5) - 131.5</t>
  </si>
  <si>
    <t>To convert FROM the vertical unit TO the horizontal unit multiply by the intersecting number</t>
  </si>
  <si>
    <t>eg: to convert inches to centimetres, multiply by 2.54</t>
  </si>
  <si>
    <t>Enter the number here</t>
  </si>
  <si>
    <t>Change the unit you are converting FROM by clicking here</t>
  </si>
  <si>
    <t>The table shows the calculation</t>
  </si>
  <si>
    <t>Answers update here</t>
  </si>
  <si>
    <t>°API = ( 141.5 *999 / ρ ) - 131.5</t>
  </si>
  <si>
    <t>Naphtha light</t>
  </si>
  <si>
    <t>0.66-0.70</t>
  </si>
  <si>
    <t>9.55-9.01</t>
  </si>
  <si>
    <t>Naphtha medium</t>
  </si>
  <si>
    <t>0.70-0.75</t>
  </si>
  <si>
    <t>9.01-8.40</t>
  </si>
  <si>
    <t>Naphtha heavy</t>
  </si>
  <si>
    <t>0.75-0.80</t>
  </si>
  <si>
    <t>8.40-7.88</t>
  </si>
  <si>
    <t>Crude oil</t>
  </si>
  <si>
    <t>0.80-0.97</t>
  </si>
  <si>
    <t>8.0-6.6</t>
  </si>
  <si>
    <t>Aviation gasoline</t>
  </si>
  <si>
    <t>0.70-0.78</t>
  </si>
  <si>
    <t>9.1-8.2</t>
  </si>
  <si>
    <t>Kerosene</t>
  </si>
  <si>
    <t>0.71-0.79</t>
  </si>
  <si>
    <t>9.0-8.1</t>
  </si>
  <si>
    <t>Gas oil</t>
  </si>
  <si>
    <t>0.78-0.86</t>
  </si>
  <si>
    <t>8.2-7.6</t>
  </si>
  <si>
    <t>Diesel oil</t>
  </si>
  <si>
    <t>0.82-0.90</t>
  </si>
  <si>
    <t>7.8-7.1</t>
  </si>
  <si>
    <t>Lubricating oil</t>
  </si>
  <si>
    <t>0.82-0.92</t>
  </si>
  <si>
    <t>7.8-6.9</t>
  </si>
  <si>
    <t>Fuel oil</t>
  </si>
  <si>
    <t>0.92-0.99</t>
  </si>
  <si>
    <t>6.9-6.5</t>
  </si>
  <si>
    <t>Asphaslitc bitumen</t>
  </si>
  <si>
    <t>1.00-1.10</t>
  </si>
  <si>
    <t>6.4-5.8</t>
  </si>
  <si>
    <t>Volume (Mscm)</t>
  </si>
  <si>
    <t>GCV (MJ/sm³)</t>
  </si>
  <si>
    <t>BOE</t>
  </si>
  <si>
    <t>1 BOE = 6119 MJ (= 6000 scf approx.)</t>
  </si>
  <si>
    <t>1 BOE = 1.462e6 kcal = approx. 1.558 m3; of natural gas</t>
  </si>
  <si>
    <t>1 Mscf = 166.67 BOE (approx)</t>
  </si>
  <si>
    <t>1 Mscm = 5800 BOE (approx)</t>
  </si>
  <si>
    <t>1 Te LPG/NGL = 11.4 BOE (approx, from Energy Trends)</t>
  </si>
  <si>
    <t>1 Te Crude Oil = 7.55 bbl (approx, from Energy Trends)</t>
  </si>
  <si>
    <t>BOE/Te</t>
  </si>
  <si>
    <t>LPG</t>
  </si>
  <si>
    <t>Aviation Gasoline</t>
  </si>
  <si>
    <t>Motor Gasoline</t>
  </si>
  <si>
    <t>Jet Gasoline</t>
  </si>
  <si>
    <t>Naptha</t>
  </si>
  <si>
    <t>Gas/Diesel Oil</t>
  </si>
  <si>
    <t>Heavy Fuel Oil</t>
  </si>
  <si>
    <t>White Spirit</t>
  </si>
  <si>
    <t>Lubricants</t>
  </si>
  <si>
    <t>Paraffin Waxes</t>
  </si>
  <si>
    <t>For other quality gas use the the calculation below</t>
  </si>
  <si>
    <t>Price (p/th)</t>
  </si>
  <si>
    <t>p/scm</t>
  </si>
  <si>
    <t>p/'000ft³</t>
  </si>
  <si>
    <t>p/kWh</t>
  </si>
  <si>
    <t>p/'00MJ</t>
  </si>
  <si>
    <t>p/th</t>
  </si>
  <si>
    <t>p/GJ</t>
  </si>
  <si>
    <t>£/mmBtu</t>
  </si>
  <si>
    <t>p/scm*</t>
  </si>
  <si>
    <t>p/'000ft³ *</t>
  </si>
  <si>
    <t>£/BOE</t>
  </si>
  <si>
    <t>NB: The above volume calculations assumes a GDV of 35MJ/scm (0.991 MJ/scf)</t>
  </si>
  <si>
    <t>p/'000ft³*</t>
  </si>
  <si>
    <t>1 MMJ = 1 TJ = 1000 GJ = 1,000,000 MJ</t>
  </si>
  <si>
    <t>1p/th = £100/scf (approximately)</t>
  </si>
  <si>
    <t>$1/mmBTU = $5.8/BOE approx (oil parity coefficient = 0.1724)</t>
  </si>
  <si>
    <t>Fuel</t>
  </si>
  <si>
    <t>Coal and lignite</t>
  </si>
  <si>
    <t>Coke oven gas</t>
  </si>
  <si>
    <t>-</t>
  </si>
  <si>
    <t>Mixed refinery gases</t>
  </si>
  <si>
    <t>Natural gas</t>
  </si>
  <si>
    <t>Unknown process gas</t>
  </si>
  <si>
    <t>CO2 Emissions Factor (kgCO2/kWhth)</t>
  </si>
  <si>
    <t>Name</t>
  </si>
  <si>
    <t>variable</t>
  </si>
  <si>
    <t>21(23)**</t>
  </si>
  <si>
    <t>Nitrous Oxide</t>
  </si>
  <si>
    <t>310(296)</t>
  </si>
  <si>
    <t>HFCs</t>
  </si>
  <si>
    <t>140-12,100 (120-12,000)</t>
  </si>
  <si>
    <t>Sulphur Hexaflouride</t>
  </si>
  <si>
    <t>22,800(22,200)</t>
  </si>
  <si>
    <t>Global Warming Potential *</t>
  </si>
  <si>
    <t>Lifetime 
(years)</t>
  </si>
  <si>
    <r>
      <t>CO</t>
    </r>
    <r>
      <rPr>
        <vertAlign val="subscript"/>
        <sz val="9"/>
        <color rgb="FF7A7885"/>
        <rFont val="Arial"/>
        <family val="2"/>
      </rPr>
      <t>2</t>
    </r>
  </si>
  <si>
    <r>
      <t>1.4x10</t>
    </r>
    <r>
      <rPr>
        <vertAlign val="superscript"/>
        <sz val="9"/>
        <color rgb="FF7A7885"/>
        <rFont val="Arial"/>
        <family val="2"/>
      </rPr>
      <t>-5</t>
    </r>
  </si>
  <si>
    <r>
      <t>CH</t>
    </r>
    <r>
      <rPr>
        <vertAlign val="subscript"/>
        <sz val="9"/>
        <color rgb="FF7A7885"/>
        <rFont val="Arial"/>
        <family val="2"/>
      </rPr>
      <t>4</t>
    </r>
  </si>
  <si>
    <r>
      <t>3.7x10</t>
    </r>
    <r>
      <rPr>
        <vertAlign val="superscript"/>
        <sz val="9"/>
        <color rgb="FF7A7885"/>
        <rFont val="Arial"/>
        <family val="2"/>
      </rPr>
      <t>-4</t>
    </r>
  </si>
  <si>
    <r>
      <t>N</t>
    </r>
    <r>
      <rPr>
        <vertAlign val="subscript"/>
        <sz val="9"/>
        <color rgb="FF7A7885"/>
        <rFont val="Arial"/>
        <family val="2"/>
      </rPr>
      <t>2</t>
    </r>
    <r>
      <rPr>
        <sz val="9"/>
        <color rgb="FF7A7885"/>
        <rFont val="Arial"/>
        <family val="2"/>
      </rPr>
      <t>O</t>
    </r>
  </si>
  <si>
    <r>
      <t>3.03x10</t>
    </r>
    <r>
      <rPr>
        <vertAlign val="superscript"/>
        <sz val="9"/>
        <color rgb="FF7A7885"/>
        <rFont val="Arial"/>
        <family val="2"/>
      </rPr>
      <t>-3</t>
    </r>
  </si>
  <si>
    <r>
      <t>134a=CH</t>
    </r>
    <r>
      <rPr>
        <vertAlign val="subscript"/>
        <sz val="9"/>
        <color rgb="FF7A7885"/>
        <rFont val="Arial"/>
        <family val="2"/>
      </rPr>
      <t>2</t>
    </r>
    <r>
      <rPr>
        <sz val="9"/>
        <color rgb="FF7A7885"/>
        <rFont val="Arial"/>
        <family val="2"/>
      </rPr>
      <t>FCF</t>
    </r>
    <r>
      <rPr>
        <vertAlign val="subscript"/>
        <sz val="9"/>
        <color rgb="FF7A7885"/>
        <rFont val="Arial"/>
        <family val="2"/>
      </rPr>
      <t>3</t>
    </r>
  </si>
  <si>
    <r>
      <t>SF</t>
    </r>
    <r>
      <rPr>
        <vertAlign val="subscript"/>
        <sz val="9"/>
        <color rgb="FF7A7885"/>
        <rFont val="Arial"/>
        <family val="2"/>
      </rPr>
      <t>6</t>
    </r>
  </si>
  <si>
    <t>* GWP, or Global Warming Potential allows scientists and policymakers to compare the ability of each greenhouse gas to trap heat in the atmosphere relative to other gases. GWP is the ratio of radiative forcing (both direct and indirect) from 1kg of greenhouse gas to 1kg of CO&amp;sub2 over a period of 100 years (as recommended by the IPCC, the Intergovernmental Panel on Climate Change)</t>
  </si>
  <si>
    <t>** Main figures are from the Third Assessment Report (TAR), figures in brackets are from the Second Assessment Report (SAR)</t>
  </si>
  <si>
    <t>Liquid</t>
  </si>
  <si>
    <t>Gas at STP</t>
  </si>
  <si>
    <t>Thermal</t>
  </si>
  <si>
    <t>Tonne</t>
  </si>
  <si>
    <t>bbl</t>
  </si>
  <si>
    <t>SCF at 60°F</t>
  </si>
  <si>
    <t>Nm³ at 60°F</t>
  </si>
  <si>
    <t>106 Btu</t>
  </si>
  <si>
    <r>
      <t>10</t>
    </r>
    <r>
      <rPr>
        <b/>
        <vertAlign val="superscript"/>
        <sz val="10"/>
        <color theme="0"/>
        <rFont val="Arial"/>
        <family val="2"/>
      </rPr>
      <t>6</t>
    </r>
    <r>
      <rPr>
        <b/>
        <sz val="10"/>
        <color theme="0"/>
        <rFont val="Arial"/>
        <family val="2"/>
      </rPr>
      <t xml:space="preserve"> Btu</t>
    </r>
  </si>
  <si>
    <r>
      <t>10</t>
    </r>
    <r>
      <rPr>
        <b/>
        <vertAlign val="superscript"/>
        <sz val="10"/>
        <color theme="0"/>
        <rFont val="Arial"/>
        <family val="2"/>
      </rPr>
      <t>6</t>
    </r>
    <r>
      <rPr>
        <b/>
        <sz val="10"/>
        <color theme="0"/>
        <rFont val="Arial"/>
        <family val="2"/>
      </rPr>
      <t xml:space="preserve"> kcal</t>
    </r>
  </si>
  <si>
    <t>106 kcal</t>
  </si>
  <si>
    <t>Te LNG</t>
  </si>
  <si>
    <t>m³ LNG</t>
  </si>
  <si>
    <t>Nm³ gas</t>
  </si>
  <si>
    <t>ft³ gas</t>
  </si>
  <si>
    <t>mmBtu</t>
  </si>
  <si>
    <t>1 MMBtu = 0.18013586919434 boe</t>
  </si>
  <si>
    <t>1mmcf = 19.6 Te LNG approx</t>
  </si>
  <si>
    <t>01 Length</t>
  </si>
  <si>
    <t>02 Area (small)</t>
  </si>
  <si>
    <t>03 Area (large)</t>
  </si>
  <si>
    <t>04 Volume</t>
  </si>
  <si>
    <t>05 Velocity</t>
  </si>
  <si>
    <t>06 Volume flow</t>
  </si>
  <si>
    <t>07 Mass</t>
  </si>
  <si>
    <t>08 Density</t>
  </si>
  <si>
    <t>09 Mass flow</t>
  </si>
  <si>
    <t>10 Force</t>
  </si>
  <si>
    <t>11 Pressure</t>
  </si>
  <si>
    <t>12 Energy</t>
  </si>
  <si>
    <t>13 Calorific value</t>
  </si>
  <si>
    <t>14 Gas price</t>
  </si>
  <si>
    <t>15 Temperature</t>
  </si>
  <si>
    <t>16 API gravity</t>
  </si>
  <si>
    <t>17 BOE</t>
  </si>
  <si>
    <t>18 LNG</t>
  </si>
  <si>
    <t>19 Emissions</t>
  </si>
  <si>
    <t>20 SI prefixes</t>
  </si>
  <si>
    <t>21 ISO 6974</t>
  </si>
  <si>
    <t>22 SRK equation</t>
  </si>
  <si>
    <r>
      <t>Radiative Efficiency 
(Wm</t>
    </r>
    <r>
      <rPr>
        <vertAlign val="superscript"/>
        <sz val="9"/>
        <color rgb="FF7A7885"/>
        <rFont val="Arial"/>
        <family val="2"/>
      </rPr>
      <t>-2</t>
    </r>
    <r>
      <rPr>
        <sz val="9"/>
        <color rgb="FF7A7885"/>
        <rFont val="Arial"/>
        <family val="2"/>
      </rPr>
      <t>ppb</t>
    </r>
    <r>
      <rPr>
        <vertAlign val="superscript"/>
        <sz val="9"/>
        <color rgb="FF7A7885"/>
        <rFont val="Arial"/>
        <family val="2"/>
      </rPr>
      <t>-1</t>
    </r>
    <r>
      <rPr>
        <sz val="9"/>
        <color rgb="FF7A7885"/>
        <rFont val="Arial"/>
        <family val="2"/>
      </rPr>
      <t>)</t>
    </r>
  </si>
  <si>
    <t>Sigma conversion factors</t>
  </si>
  <si>
    <t>Density   kg/m³</t>
  </si>
  <si>
    <t>R (KJ/Kmol.K)</t>
  </si>
  <si>
    <t>°C Temperature</t>
  </si>
  <si>
    <t>Bar.a Pressure</t>
  </si>
  <si>
    <t>Mol Wt</t>
  </si>
  <si>
    <t>P red.</t>
  </si>
  <si>
    <t>T red.</t>
  </si>
  <si>
    <t>UK billion = 1e12</t>
  </si>
  <si>
    <t>US billion = 1e9</t>
  </si>
  <si>
    <t>02 Area</t>
  </si>
  <si>
    <t>UK gallon = Imperial gallon</t>
  </si>
  <si>
    <t>mm/s</t>
  </si>
  <si>
    <t>£/MWh = 10 x p/kWh</t>
  </si>
  <si>
    <t>1 BCF = 1000 mmscf = 1,000,000,000 scf</t>
  </si>
  <si>
    <t>1 TCF = 1000 BCF = 1,000,000,000,000 scf</t>
  </si>
  <si>
    <t>M = thousand</t>
  </si>
  <si>
    <t>MM = million</t>
  </si>
  <si>
    <t>B = billion</t>
  </si>
  <si>
    <t>T = Trillion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</si>
</sst>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0"/>
    <numFmt numFmtId="165" formatCode="General_)"/>
    <numFmt numFmtId="166" formatCode="0.00_)"/>
    <numFmt numFmtId="167" formatCode="0_)"/>
    <numFmt numFmtId="168" formatCode="0.0000_)"/>
    <numFmt numFmtId="169" formatCode="0.000000_)"/>
    <numFmt numFmtId="170" formatCode="0.000_)"/>
    <numFmt numFmtId="171" formatCode="0.00000_)"/>
    <numFmt numFmtId="172" formatCode="_-* #,##0.0000_-;\-* #,##0.0000_-;_-* &quot;-&quot;??_-;_-@_-"/>
    <numFmt numFmtId="173" formatCode="_-* #,##0.00000_-;\-* #,##0.00000_-;_-* &quot;-&quot;??_-;_-@_-"/>
    <numFmt numFmtId="174" formatCode="_-* #,##0.000000_-;\-* #,##0.000000_-;_-* &quot;-&quot;??_-;_-@_-"/>
    <numFmt numFmtId="175" formatCode="0.000000"/>
    <numFmt numFmtId="176" formatCode="0.00000"/>
    <numFmt numFmtId="177" formatCode="0.0000"/>
    <numFmt numFmtId="178" formatCode="_-* #,##0_-;\-* #,##0_-;_-* &quot;-&quot;??_-;_-@_-"/>
    <numFmt numFmtId="179" formatCode="0.0000000"/>
  </numFmts>
  <fonts count="34">
    <font>
      <sz val="11"/>
      <color theme="1"/>
      <name val="Calibri"/>
      <family val="2"/>
      <scheme val="minor"/>
    </font>
    <font>
      <b/>
      <sz val="11"/>
      <color theme="0"/>
      <name val="Calibri"/>
      <family val="2"/>
      <scheme val="minor"/>
    </font>
    <font>
      <sz val="10"/>
      <name val="Arial"/>
      <family val="2"/>
    </font>
    <font>
      <b/>
      <sz val="8"/>
      <name val="Arial"/>
      <family val="2"/>
    </font>
    <font>
      <sz val="8"/>
      <name val="Arial"/>
      <family val="2"/>
    </font>
    <font>
      <b/>
      <sz val="16"/>
      <color theme="1"/>
      <name val="Calibri"/>
      <family val="2"/>
      <scheme val="minor"/>
    </font>
    <font>
      <b/>
      <sz val="10"/>
      <color theme="0"/>
      <name val="Arial"/>
      <family val="2"/>
    </font>
    <font>
      <sz val="9"/>
      <color rgb="FF7A7885"/>
      <name val="Arial"/>
      <family val="2"/>
    </font>
    <font>
      <vertAlign val="superscript"/>
      <sz val="9"/>
      <color rgb="FF7A7885"/>
      <name val="Inherit"/>
    </font>
    <font>
      <sz val="12"/>
      <color theme="1"/>
      <name val="Calibri"/>
      <family val="2"/>
      <scheme val="minor"/>
    </font>
    <font>
      <b/>
      <sz val="12"/>
      <color theme="0"/>
      <name val="Calibri"/>
      <family val="2"/>
      <scheme val="minor"/>
    </font>
    <font>
      <sz val="11"/>
      <color theme="1"/>
      <name val="Calibri"/>
      <family val="2"/>
      <scheme val="minor"/>
    </font>
    <font>
      <b/>
      <sz val="36"/>
      <color theme="1"/>
      <name val="Calibri"/>
      <family val="2"/>
      <scheme val="minor"/>
    </font>
    <font>
      <sz val="10"/>
      <name val="Courier"/>
    </font>
    <font>
      <sz val="10"/>
      <color indexed="12"/>
      <name val="Arial"/>
      <family val="2"/>
    </font>
    <font>
      <vertAlign val="superscript"/>
      <sz val="10"/>
      <name val="Calibri"/>
      <family val="2"/>
    </font>
    <font>
      <sz val="10"/>
      <name val="Calibri"/>
      <family val="2"/>
      <scheme val="minor"/>
    </font>
    <font>
      <vertAlign val="superscript"/>
      <sz val="10"/>
      <name val="Calibri"/>
      <family val="2"/>
      <scheme val="minor"/>
    </font>
    <font>
      <i/>
      <sz val="10"/>
      <name val="Calibri"/>
      <family val="2"/>
      <scheme val="minor"/>
    </font>
    <font>
      <sz val="11"/>
      <name val="Calibri"/>
      <family val="2"/>
      <scheme val="minor"/>
    </font>
    <font>
      <sz val="11"/>
      <name val="Arial"/>
      <family val="2"/>
    </font>
    <font>
      <vertAlign val="superscript"/>
      <sz val="11"/>
      <name val="Calibri"/>
      <family val="2"/>
      <scheme val="minor"/>
    </font>
    <font>
      <b/>
      <sz val="11"/>
      <name val="Calibri"/>
      <family val="2"/>
      <scheme val="minor"/>
    </font>
    <font>
      <sz val="6"/>
      <color rgb="FF000000"/>
      <name val="Verdana"/>
      <family val="2"/>
    </font>
    <font>
      <sz val="11"/>
      <color rgb="FF000000"/>
      <name val="Verdana"/>
      <family val="2"/>
    </font>
    <font>
      <sz val="9"/>
      <color theme="1"/>
      <name val="Calibri"/>
      <family val="2"/>
      <scheme val="minor"/>
    </font>
    <font>
      <u/>
      <sz val="11"/>
      <color theme="10"/>
      <name val="Calibri"/>
      <family val="2"/>
      <scheme val="minor"/>
    </font>
    <font>
      <i/>
      <sz val="9"/>
      <color rgb="FF7A7885"/>
      <name val="Arial"/>
      <family val="2"/>
    </font>
    <font>
      <sz val="9"/>
      <color theme="0" tint="-0.499984740745262"/>
      <name val="Arial"/>
      <family val="2"/>
    </font>
    <font>
      <vertAlign val="superscript"/>
      <sz val="9"/>
      <color rgb="FF7A7885"/>
      <name val="Arial"/>
      <family val="2"/>
    </font>
    <font>
      <vertAlign val="subscript"/>
      <sz val="9"/>
      <color rgb="FF7A7885"/>
      <name val="Arial"/>
      <family val="2"/>
    </font>
    <font>
      <b/>
      <vertAlign val="superscript"/>
      <sz val="10"/>
      <color theme="0"/>
      <name val="Arial"/>
      <family val="2"/>
    </font>
    <font>
      <b/>
      <sz val="12"/>
      <name val="Calibri"/>
      <family val="2"/>
      <scheme val="minor"/>
    </font>
    <font>
      <b/>
      <sz val="9"/>
      <color theme="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tint="-0.499984740745262"/>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7A7885"/>
      </top>
      <bottom/>
      <diagonal/>
    </border>
    <border>
      <left style="medium">
        <color indexed="64"/>
      </left>
      <right style="medium">
        <color indexed="64"/>
      </right>
      <top style="medium">
        <color indexed="64"/>
      </top>
      <bottom/>
      <diagonal/>
    </border>
    <border>
      <left/>
      <right/>
      <top/>
      <bottom style="medium">
        <color rgb="FF7A7885"/>
      </bottom>
      <diagonal/>
    </border>
    <border>
      <left style="medium">
        <color indexed="64"/>
      </left>
      <right/>
      <top style="medium">
        <color indexed="64"/>
      </top>
      <bottom style="medium">
        <color indexed="64"/>
      </bottom>
      <diagonal/>
    </border>
  </borders>
  <cellStyleXfs count="5">
    <xf numFmtId="0" fontId="0" fillId="0" borderId="0"/>
    <xf numFmtId="43" fontId="11" fillId="0" borderId="0" applyFont="0" applyFill="0" applyBorder="0" applyAlignment="0" applyProtection="0"/>
    <xf numFmtId="165" fontId="13" fillId="0" borderId="0"/>
    <xf numFmtId="0" fontId="13" fillId="0" borderId="0"/>
    <xf numFmtId="0" fontId="26" fillId="0" borderId="0" applyNumberFormat="0" applyFill="0" applyBorder="0" applyAlignment="0" applyProtection="0"/>
  </cellStyleXfs>
  <cellXfs count="336">
    <xf numFmtId="0" fontId="0" fillId="0" borderId="0" xfId="0"/>
    <xf numFmtId="0" fontId="2" fillId="0" borderId="0" xfId="0" applyFont="1" applyAlignment="1">
      <alignment horizontal="center"/>
    </xf>
    <xf numFmtId="0" fontId="2" fillId="0" borderId="0" xfId="0" applyFont="1"/>
    <xf numFmtId="0" fontId="5" fillId="0" borderId="0" xfId="0" applyFont="1"/>
    <xf numFmtId="0" fontId="3" fillId="0" borderId="0" xfId="0" applyFont="1" applyBorder="1" applyAlignment="1">
      <alignment horizontal="center" vertical="center"/>
    </xf>
    <xf numFmtId="0" fontId="4" fillId="0" borderId="0" xfId="0" quotePrefix="1" applyFont="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quotePrefix="1" applyFont="1" applyFill="1" applyBorder="1" applyAlignment="1">
      <alignment horizontal="center" vertical="center"/>
    </xf>
    <xf numFmtId="0" fontId="4" fillId="0" borderId="0" xfId="0" applyFont="1" applyBorder="1" applyAlignment="1">
      <alignment horizontal="center" vertical="center"/>
    </xf>
    <xf numFmtId="164" fontId="4" fillId="2" borderId="0" xfId="0" applyNumberFormat="1" applyFont="1" applyFill="1" applyBorder="1" applyAlignment="1">
      <alignment horizontal="center" vertical="center"/>
    </xf>
    <xf numFmtId="0" fontId="3" fillId="2" borderId="0" xfId="0" quotePrefix="1" applyFont="1" applyFill="1" applyBorder="1" applyAlignment="1">
      <alignment horizontal="center" vertical="center"/>
    </xf>
    <xf numFmtId="0" fontId="4" fillId="0" borderId="0" xfId="0" quotePrefix="1" applyNumberFormat="1" applyFont="1" applyBorder="1" applyAlignment="1">
      <alignment horizontal="center" vertical="center"/>
    </xf>
    <xf numFmtId="0" fontId="4"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4" fillId="2" borderId="0" xfId="0" quotePrefix="1"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0" fillId="3" borderId="2" xfId="0" applyFill="1" applyBorder="1"/>
    <xf numFmtId="0" fontId="6" fillId="3" borderId="3" xfId="0" applyFont="1" applyFill="1" applyBorder="1" applyAlignment="1">
      <alignment horizontal="center" vertical="center"/>
    </xf>
    <xf numFmtId="0" fontId="6" fillId="3" borderId="3" xfId="0" quotePrefix="1" applyFont="1" applyFill="1" applyBorder="1" applyAlignment="1">
      <alignment horizontal="center" vertical="center"/>
    </xf>
    <xf numFmtId="0" fontId="6" fillId="3" borderId="4" xfId="0" quotePrefix="1" applyFont="1" applyFill="1" applyBorder="1" applyAlignment="1">
      <alignment horizontal="center" vertical="center"/>
    </xf>
    <xf numFmtId="0" fontId="1" fillId="3" borderId="5" xfId="0" applyFont="1" applyFill="1" applyBorder="1" applyAlignment="1">
      <alignment horizontal="center"/>
    </xf>
    <xf numFmtId="0" fontId="4" fillId="0" borderId="6" xfId="0" quotePrefix="1" applyFont="1" applyBorder="1" applyAlignment="1">
      <alignment horizontal="center" vertical="center"/>
    </xf>
    <xf numFmtId="0" fontId="4" fillId="2" borderId="6" xfId="0" quotePrefix="1" applyFont="1" applyFill="1" applyBorder="1" applyAlignment="1">
      <alignment horizontal="center" vertical="center"/>
    </xf>
    <xf numFmtId="0" fontId="4" fillId="0" borderId="6" xfId="0" quotePrefix="1" applyNumberFormat="1" applyFont="1" applyBorder="1" applyAlignment="1">
      <alignment horizontal="center" vertical="center"/>
    </xf>
    <xf numFmtId="0" fontId="4" fillId="2" borderId="6" xfId="0" quotePrefix="1" applyNumberFormat="1" applyFont="1" applyFill="1" applyBorder="1" applyAlignment="1">
      <alignment horizontal="center" vertical="center"/>
    </xf>
    <xf numFmtId="0" fontId="1" fillId="3" borderId="7" xfId="0" applyFont="1" applyFill="1" applyBorder="1" applyAlignment="1">
      <alignment horizontal="center"/>
    </xf>
    <xf numFmtId="0" fontId="4" fillId="0" borderId="8" xfId="0" quotePrefix="1"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2" xfId="0" applyFont="1" applyBorder="1" applyAlignment="1">
      <alignment horizontal="center" vertical="center"/>
    </xf>
    <xf numFmtId="0" fontId="4" fillId="0" borderId="3" xfId="0" quotePrefix="1" applyFont="1" applyBorder="1" applyAlignment="1">
      <alignment horizontal="center" vertical="center"/>
    </xf>
    <xf numFmtId="0" fontId="4" fillId="0" borderId="4" xfId="0" quotePrefix="1" applyFont="1" applyBorder="1" applyAlignment="1">
      <alignment horizontal="center"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2" borderId="5" xfId="0" quotePrefix="1" applyFont="1" applyFill="1" applyBorder="1" applyAlignment="1">
      <alignment horizontal="center" vertical="center"/>
    </xf>
    <xf numFmtId="0" fontId="4" fillId="0" borderId="5" xfId="0" quotePrefix="1" applyFont="1" applyBorder="1" applyAlignment="1">
      <alignment horizontal="center" vertical="center"/>
    </xf>
    <xf numFmtId="0" fontId="4" fillId="0" borderId="5" xfId="0" quotePrefix="1" applyNumberFormat="1" applyFont="1" applyBorder="1" applyAlignment="1">
      <alignment horizontal="center" vertical="center"/>
    </xf>
    <xf numFmtId="0" fontId="4" fillId="2" borderId="5" xfId="0" quotePrefix="1" applyNumberFormat="1" applyFont="1" applyFill="1" applyBorder="1" applyAlignment="1">
      <alignment horizontal="center" vertical="center"/>
    </xf>
    <xf numFmtId="0" fontId="4" fillId="0" borderId="7" xfId="0" quotePrefix="1" applyNumberFormat="1"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7" fillId="0" borderId="0" xfId="0" applyFont="1" applyAlignment="1">
      <alignment vertical="center"/>
    </xf>
    <xf numFmtId="0" fontId="0" fillId="0" borderId="0" xfId="0" applyAlignment="1">
      <alignment vertical="center"/>
    </xf>
    <xf numFmtId="0" fontId="9" fillId="0" borderId="0" xfId="0" applyFont="1"/>
    <xf numFmtId="0" fontId="4" fillId="2"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6" xfId="0" applyNumberFormat="1" applyFont="1" applyBorder="1" applyAlignment="1">
      <alignment horizontal="center" vertical="center"/>
    </xf>
    <xf numFmtId="0" fontId="4" fillId="2" borderId="7" xfId="0" quotePrefix="1" applyNumberFormat="1" applyFont="1" applyFill="1" applyBorder="1" applyAlignment="1">
      <alignment horizontal="center" vertical="center"/>
    </xf>
    <xf numFmtId="0" fontId="4" fillId="2" borderId="8" xfId="0" quotePrefix="1"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12" fillId="0" borderId="0" xfId="0" applyFont="1" applyAlignment="1">
      <alignment vertical="center"/>
    </xf>
    <xf numFmtId="0" fontId="4" fillId="2" borderId="6" xfId="0" applyNumberFormat="1" applyFont="1" applyFill="1" applyBorder="1" applyAlignment="1">
      <alignment horizontal="center" vertical="center"/>
    </xf>
    <xf numFmtId="0" fontId="7" fillId="0" borderId="0" xfId="0" applyFont="1" applyAlignment="1">
      <alignment horizontal="right" vertical="center"/>
    </xf>
    <xf numFmtId="165" fontId="2" fillId="0" borderId="0" xfId="2" applyFont="1"/>
    <xf numFmtId="165" fontId="2" fillId="0" borderId="0" xfId="2" applyFont="1" applyAlignment="1">
      <alignment horizontal="right"/>
    </xf>
    <xf numFmtId="0" fontId="2" fillId="0" borderId="0" xfId="3" applyFont="1"/>
    <xf numFmtId="171" fontId="14" fillId="0" borderId="0" xfId="3" applyNumberFormat="1" applyFont="1" applyProtection="1">
      <protection locked="0"/>
    </xf>
    <xf numFmtId="0" fontId="14" fillId="0" borderId="0" xfId="3" applyFont="1" applyAlignment="1" applyProtection="1">
      <alignment horizontal="left"/>
      <protection locked="0"/>
    </xf>
    <xf numFmtId="0" fontId="14" fillId="0" borderId="0" xfId="3" applyFont="1" applyProtection="1">
      <protection locked="0"/>
    </xf>
    <xf numFmtId="170" fontId="14" fillId="0" borderId="0" xfId="3" applyNumberFormat="1" applyFont="1" applyProtection="1">
      <protection locked="0"/>
    </xf>
    <xf numFmtId="0" fontId="14" fillId="0" borderId="0" xfId="3" applyFont="1" applyAlignment="1" applyProtection="1">
      <alignment horizontal="right"/>
      <protection locked="0"/>
    </xf>
    <xf numFmtId="0" fontId="14" fillId="0" borderId="0" xfId="3" applyFont="1" applyAlignment="1" applyProtection="1">
      <alignment horizontal="fill"/>
      <protection locked="0"/>
    </xf>
    <xf numFmtId="0" fontId="14" fillId="0" borderId="0" xfId="3" applyFont="1" applyAlignment="1" applyProtection="1">
      <alignment horizontal="center"/>
      <protection locked="0"/>
    </xf>
    <xf numFmtId="165" fontId="16" fillId="0" borderId="0" xfId="2" applyFont="1"/>
    <xf numFmtId="165" fontId="16" fillId="0" borderId="0" xfId="2" applyFont="1" applyAlignment="1">
      <alignment horizontal="left"/>
    </xf>
    <xf numFmtId="165" fontId="16" fillId="0" borderId="0" xfId="2" applyFont="1" applyAlignment="1">
      <alignment horizontal="right"/>
    </xf>
    <xf numFmtId="168" fontId="16" fillId="0" borderId="0" xfId="2" applyNumberFormat="1" applyFont="1" applyAlignment="1" applyProtection="1">
      <alignment horizontal="left"/>
    </xf>
    <xf numFmtId="168" fontId="16" fillId="0" borderId="0" xfId="2" applyNumberFormat="1" applyFont="1" applyProtection="1"/>
    <xf numFmtId="165" fontId="16" fillId="0" borderId="14" xfId="2" applyFont="1" applyBorder="1" applyAlignment="1">
      <alignment horizontal="left"/>
    </xf>
    <xf numFmtId="165" fontId="16" fillId="0" borderId="14" xfId="2" applyFont="1" applyBorder="1" applyAlignment="1">
      <alignment horizontal="center"/>
    </xf>
    <xf numFmtId="165" fontId="16" fillId="0" borderId="15" xfId="2" applyFont="1" applyBorder="1" applyAlignment="1">
      <alignment horizontal="center"/>
    </xf>
    <xf numFmtId="165" fontId="16" fillId="0" borderId="11" xfId="2" applyFont="1" applyBorder="1"/>
    <xf numFmtId="165" fontId="16" fillId="0" borderId="11" xfId="2" applyFont="1" applyBorder="1" applyAlignment="1">
      <alignment horizontal="center"/>
    </xf>
    <xf numFmtId="165" fontId="16" fillId="0" borderId="0" xfId="2" applyFont="1" applyBorder="1" applyAlignment="1">
      <alignment horizontal="center"/>
    </xf>
    <xf numFmtId="165" fontId="16" fillId="0" borderId="10" xfId="2" applyFont="1" applyBorder="1"/>
    <xf numFmtId="165" fontId="16" fillId="0" borderId="10" xfId="2" applyFont="1" applyBorder="1" applyAlignment="1">
      <alignment horizontal="center"/>
    </xf>
    <xf numFmtId="165" fontId="16" fillId="0" borderId="13" xfId="2" applyFont="1" applyBorder="1" applyAlignment="1">
      <alignment horizontal="center"/>
    </xf>
    <xf numFmtId="168" fontId="16" fillId="0" borderId="15" xfId="2" applyNumberFormat="1" applyFont="1" applyBorder="1" applyProtection="1"/>
    <xf numFmtId="166" fontId="16" fillId="0" borderId="15" xfId="2" applyNumberFormat="1" applyFont="1" applyBorder="1" applyProtection="1"/>
    <xf numFmtId="167" fontId="16" fillId="0" borderId="15" xfId="2" applyNumberFormat="1" applyFont="1" applyBorder="1" applyProtection="1"/>
    <xf numFmtId="165" fontId="16" fillId="0" borderId="11" xfId="2" applyFont="1" applyBorder="1" applyAlignment="1">
      <alignment horizontal="left"/>
    </xf>
    <xf numFmtId="168" fontId="16" fillId="0" borderId="0" xfId="2" applyNumberFormat="1" applyFont="1" applyBorder="1" applyProtection="1"/>
    <xf numFmtId="166" fontId="16" fillId="0" borderId="0" xfId="2" applyNumberFormat="1" applyFont="1" applyBorder="1" applyProtection="1"/>
    <xf numFmtId="167" fontId="16" fillId="0" borderId="0" xfId="2" applyNumberFormat="1" applyFont="1" applyBorder="1" applyProtection="1"/>
    <xf numFmtId="166" fontId="16" fillId="0" borderId="0" xfId="2" applyNumberFormat="1" applyFont="1" applyProtection="1"/>
    <xf numFmtId="167" fontId="16" fillId="0" borderId="0" xfId="2" applyNumberFormat="1" applyFont="1" applyProtection="1"/>
    <xf numFmtId="165" fontId="16" fillId="0" borderId="12" xfId="2" applyFont="1" applyBorder="1" applyAlignment="1">
      <alignment horizontal="center"/>
    </xf>
    <xf numFmtId="165" fontId="16" fillId="0" borderId="12" xfId="2" applyFont="1" applyBorder="1" applyAlignment="1">
      <alignment horizontal="right"/>
    </xf>
    <xf numFmtId="166" fontId="16" fillId="0" borderId="0" xfId="2" applyNumberFormat="1" applyFont="1" applyAlignment="1" applyProtection="1">
      <alignment horizontal="left"/>
    </xf>
    <xf numFmtId="0" fontId="16" fillId="0" borderId="0" xfId="3" applyFont="1"/>
    <xf numFmtId="165" fontId="16" fillId="0" borderId="0" xfId="2" applyFont="1" applyAlignment="1">
      <alignment horizontal="center"/>
    </xf>
    <xf numFmtId="165" fontId="18" fillId="0" borderId="0" xfId="2" applyFont="1" applyAlignment="1">
      <alignment horizontal="left"/>
    </xf>
    <xf numFmtId="165" fontId="16" fillId="2" borderId="11" xfId="2" applyFont="1" applyFill="1" applyBorder="1" applyAlignment="1">
      <alignment horizontal="left"/>
    </xf>
    <xf numFmtId="165" fontId="16" fillId="2" borderId="0" xfId="2" applyFont="1" applyFill="1" applyBorder="1" applyAlignment="1">
      <alignment horizontal="center"/>
    </xf>
    <xf numFmtId="168" fontId="16" fillId="2" borderId="0" xfId="2" applyNumberFormat="1" applyFont="1" applyFill="1" applyBorder="1" applyProtection="1"/>
    <xf numFmtId="166" fontId="16" fillId="2" borderId="0" xfId="2" applyNumberFormat="1" applyFont="1" applyFill="1" applyBorder="1" applyProtection="1"/>
    <xf numFmtId="167" fontId="16" fillId="2" borderId="0" xfId="2" applyNumberFormat="1" applyFont="1" applyFill="1" applyBorder="1" applyProtection="1"/>
    <xf numFmtId="168" fontId="16" fillId="2" borderId="0" xfId="2" applyNumberFormat="1" applyFont="1" applyFill="1" applyBorder="1" applyAlignment="1" applyProtection="1">
      <alignment horizontal="left"/>
    </xf>
    <xf numFmtId="165" fontId="16" fillId="2" borderId="10" xfId="2" applyFont="1" applyFill="1" applyBorder="1" applyAlignment="1">
      <alignment horizontal="left"/>
    </xf>
    <xf numFmtId="165" fontId="16" fillId="2" borderId="13" xfId="2" applyFont="1" applyFill="1" applyBorder="1" applyAlignment="1">
      <alignment horizontal="center"/>
    </xf>
    <xf numFmtId="168" fontId="16" fillId="2" borderId="13" xfId="2" applyNumberFormat="1" applyFont="1" applyFill="1" applyBorder="1" applyProtection="1"/>
    <xf numFmtId="166" fontId="16" fillId="2" borderId="13" xfId="2" applyNumberFormat="1" applyFont="1" applyFill="1" applyBorder="1" applyProtection="1"/>
    <xf numFmtId="167" fontId="16" fillId="2" borderId="13" xfId="2" applyNumberFormat="1" applyFont="1" applyFill="1" applyBorder="1" applyProtection="1"/>
    <xf numFmtId="168" fontId="16" fillId="2" borderId="13" xfId="2" applyNumberFormat="1" applyFont="1" applyFill="1" applyBorder="1" applyAlignment="1" applyProtection="1">
      <alignment horizontal="left"/>
    </xf>
    <xf numFmtId="165" fontId="16" fillId="0" borderId="16" xfId="2" applyFont="1" applyBorder="1" applyAlignment="1">
      <alignment horizontal="left"/>
    </xf>
    <xf numFmtId="165" fontId="16" fillId="0" borderId="17" xfId="2" applyFont="1" applyBorder="1" applyAlignment="1">
      <alignment horizontal="left"/>
    </xf>
    <xf numFmtId="165" fontId="16" fillId="0" borderId="17" xfId="2" applyFont="1" applyBorder="1" applyAlignment="1">
      <alignment horizontal="center"/>
    </xf>
    <xf numFmtId="165" fontId="16" fillId="0" borderId="19" xfId="2" applyFont="1" applyBorder="1"/>
    <xf numFmtId="165" fontId="16" fillId="0" borderId="20" xfId="2" applyFont="1" applyBorder="1" applyAlignment="1">
      <alignment horizontal="center"/>
    </xf>
    <xf numFmtId="165" fontId="16" fillId="0" borderId="21" xfId="2" applyFont="1" applyBorder="1" applyAlignment="1">
      <alignment horizontal="left"/>
    </xf>
    <xf numFmtId="168" fontId="16" fillId="0" borderId="22" xfId="2" applyNumberFormat="1" applyFont="1" applyBorder="1" applyProtection="1"/>
    <xf numFmtId="165" fontId="16" fillId="0" borderId="18" xfId="2" applyFont="1" applyBorder="1" applyAlignment="1">
      <alignment horizontal="left"/>
    </xf>
    <xf numFmtId="168" fontId="16" fillId="0" borderId="6" xfId="2" applyNumberFormat="1" applyFont="1" applyBorder="1" applyProtection="1"/>
    <xf numFmtId="165" fontId="16" fillId="2" borderId="18" xfId="2" applyFont="1" applyFill="1" applyBorder="1" applyAlignment="1">
      <alignment horizontal="left"/>
    </xf>
    <xf numFmtId="168" fontId="16" fillId="2" borderId="6" xfId="2" applyNumberFormat="1" applyFont="1" applyFill="1" applyBorder="1" applyProtection="1"/>
    <xf numFmtId="165" fontId="16" fillId="2" borderId="19" xfId="2" applyFont="1" applyFill="1" applyBorder="1" applyAlignment="1">
      <alignment horizontal="left"/>
    </xf>
    <xf numFmtId="168" fontId="16" fillId="2" borderId="20" xfId="2" applyNumberFormat="1" applyFont="1" applyFill="1" applyBorder="1" applyProtection="1"/>
    <xf numFmtId="165" fontId="16" fillId="0" borderId="23" xfId="2" applyFont="1" applyBorder="1"/>
    <xf numFmtId="165" fontId="16" fillId="0" borderId="24" xfId="2" applyFont="1" applyBorder="1"/>
    <xf numFmtId="169" fontId="16" fillId="0" borderId="24" xfId="2" applyNumberFormat="1" applyFont="1" applyBorder="1" applyAlignment="1" applyProtection="1">
      <alignment horizontal="center"/>
    </xf>
    <xf numFmtId="165" fontId="16" fillId="0" borderId="25" xfId="2" applyFont="1" applyBorder="1"/>
    <xf numFmtId="168" fontId="16" fillId="0" borderId="25" xfId="2" applyNumberFormat="1" applyFont="1" applyBorder="1" applyProtection="1"/>
    <xf numFmtId="166" fontId="16" fillId="0" borderId="25" xfId="2" applyNumberFormat="1" applyFont="1" applyBorder="1" applyProtection="1"/>
    <xf numFmtId="167" fontId="16" fillId="0" borderId="25" xfId="2" applyNumberFormat="1" applyFont="1" applyBorder="1" applyProtection="1"/>
    <xf numFmtId="168" fontId="16" fillId="0" borderId="26" xfId="2" applyNumberFormat="1" applyFont="1" applyBorder="1" applyProtection="1"/>
    <xf numFmtId="165" fontId="16" fillId="0" borderId="3" xfId="2" applyFont="1" applyBorder="1" applyAlignment="1">
      <alignment horizontal="center" vertical="center" wrapText="1"/>
    </xf>
    <xf numFmtId="165" fontId="16" fillId="0" borderId="4" xfId="2" applyFont="1" applyBorder="1" applyAlignment="1">
      <alignment horizontal="center" vertical="center" wrapText="1"/>
    </xf>
    <xf numFmtId="165" fontId="16" fillId="2" borderId="11" xfId="2" applyFont="1" applyFill="1" applyBorder="1" applyAlignment="1">
      <alignment horizontal="center"/>
    </xf>
    <xf numFmtId="165" fontId="16" fillId="2" borderId="10" xfId="2" applyFont="1" applyFill="1" applyBorder="1" applyAlignment="1">
      <alignment horizontal="center"/>
    </xf>
    <xf numFmtId="165" fontId="2" fillId="0" borderId="0" xfId="2" applyFont="1" applyAlignment="1">
      <alignment vertical="center"/>
    </xf>
    <xf numFmtId="165" fontId="6" fillId="3" borderId="2" xfId="2" applyFont="1" applyFill="1" applyBorder="1" applyAlignment="1">
      <alignment vertical="center"/>
    </xf>
    <xf numFmtId="165" fontId="6" fillId="3" borderId="3" xfId="2" applyFont="1" applyFill="1" applyBorder="1" applyAlignment="1">
      <alignment vertical="center"/>
    </xf>
    <xf numFmtId="165" fontId="6" fillId="3" borderId="4" xfId="2" applyFont="1" applyFill="1" applyBorder="1" applyAlignment="1">
      <alignment vertical="center"/>
    </xf>
    <xf numFmtId="165" fontId="16" fillId="0" borderId="0" xfId="2" applyFont="1" applyAlignment="1">
      <alignment vertical="center"/>
    </xf>
    <xf numFmtId="165" fontId="19" fillId="0" borderId="21" xfId="2" applyFont="1" applyBorder="1" applyAlignment="1">
      <alignment horizontal="center" vertical="center"/>
    </xf>
    <xf numFmtId="165" fontId="19" fillId="0" borderId="14" xfId="2" applyFont="1" applyBorder="1" applyAlignment="1">
      <alignment horizontal="center" vertical="center"/>
    </xf>
    <xf numFmtId="165" fontId="20" fillId="0" borderId="0" xfId="2" applyFont="1" applyAlignment="1">
      <alignment vertical="center"/>
    </xf>
    <xf numFmtId="165" fontId="19" fillId="0" borderId="0" xfId="2" applyFont="1" applyAlignment="1">
      <alignment horizontal="left" vertical="center"/>
    </xf>
    <xf numFmtId="170" fontId="19" fillId="0" borderId="0" xfId="2" applyNumberFormat="1" applyFont="1" applyAlignment="1" applyProtection="1">
      <alignment vertical="center"/>
    </xf>
    <xf numFmtId="168" fontId="19" fillId="0" borderId="0" xfId="2" applyNumberFormat="1" applyFont="1" applyAlignment="1" applyProtection="1">
      <alignment horizontal="left" vertical="center"/>
    </xf>
    <xf numFmtId="165" fontId="19" fillId="0" borderId="18" xfId="2" applyFont="1" applyBorder="1" applyAlignment="1">
      <alignment horizontal="center" vertical="center"/>
    </xf>
    <xf numFmtId="165" fontId="19" fillId="0" borderId="11" xfId="2" applyFont="1" applyBorder="1" applyAlignment="1">
      <alignment horizontal="center" vertical="center"/>
    </xf>
    <xf numFmtId="168" fontId="19" fillId="0" borderId="0" xfId="2" applyNumberFormat="1" applyFont="1" applyAlignment="1" applyProtection="1">
      <alignment vertical="center"/>
    </xf>
    <xf numFmtId="165" fontId="16" fillId="0" borderId="0" xfId="2" applyFont="1" applyAlignment="1">
      <alignment horizontal="left" vertical="center"/>
    </xf>
    <xf numFmtId="165" fontId="19" fillId="2" borderId="18" xfId="2" applyFont="1" applyFill="1" applyBorder="1" applyAlignment="1">
      <alignment horizontal="center" vertical="center"/>
    </xf>
    <xf numFmtId="165" fontId="19" fillId="2" borderId="11" xfId="2" applyFont="1" applyFill="1" applyBorder="1" applyAlignment="1">
      <alignment horizontal="center" vertical="center"/>
    </xf>
    <xf numFmtId="172" fontId="19" fillId="0" borderId="0" xfId="1" applyNumberFormat="1" applyFont="1" applyAlignment="1">
      <alignment vertical="center"/>
    </xf>
    <xf numFmtId="165" fontId="19" fillId="0" borderId="0" xfId="2" applyFont="1" applyAlignment="1">
      <alignment vertical="center"/>
    </xf>
    <xf numFmtId="174" fontId="19" fillId="0" borderId="0" xfId="1" applyNumberFormat="1" applyFont="1" applyAlignment="1">
      <alignment vertical="center"/>
    </xf>
    <xf numFmtId="165" fontId="19" fillId="0" borderId="0" xfId="2" applyFont="1" applyAlignment="1">
      <alignment horizontal="fill" vertical="center"/>
    </xf>
    <xf numFmtId="165" fontId="22" fillId="0" borderId="0" xfId="2" applyFont="1" applyAlignment="1">
      <alignment horizontal="left" vertical="center"/>
    </xf>
    <xf numFmtId="173" fontId="19" fillId="0" borderId="0" xfId="1" applyNumberFormat="1" applyFont="1" applyAlignment="1">
      <alignment vertical="center"/>
    </xf>
    <xf numFmtId="165" fontId="19" fillId="2" borderId="19" xfId="2" applyFont="1" applyFill="1" applyBorder="1" applyAlignment="1">
      <alignment horizontal="center" vertical="center"/>
    </xf>
    <xf numFmtId="165" fontId="19" fillId="2" borderId="10" xfId="2" applyFont="1" applyFill="1" applyBorder="1" applyAlignment="1">
      <alignment horizontal="center" vertical="center"/>
    </xf>
    <xf numFmtId="165" fontId="1" fillId="3" borderId="23" xfId="2" applyFont="1" applyFill="1" applyBorder="1" applyAlignment="1">
      <alignment vertical="center"/>
    </xf>
    <xf numFmtId="165" fontId="1" fillId="3" borderId="24" xfId="2" applyFont="1" applyFill="1" applyBorder="1" applyAlignment="1">
      <alignment vertical="center"/>
    </xf>
    <xf numFmtId="169" fontId="1" fillId="3" borderId="27" xfId="2" applyNumberFormat="1" applyFont="1" applyFill="1" applyBorder="1" applyAlignment="1" applyProtection="1">
      <alignment horizontal="center" vertical="center"/>
    </xf>
    <xf numFmtId="165" fontId="22" fillId="0" borderId="0" xfId="2" applyFont="1" applyAlignment="1">
      <alignment vertical="center"/>
    </xf>
    <xf numFmtId="0" fontId="4" fillId="2" borderId="7" xfId="0" quotePrefix="1" applyFont="1" applyFill="1" applyBorder="1" applyAlignment="1">
      <alignment horizontal="center" vertical="center"/>
    </xf>
    <xf numFmtId="0" fontId="4" fillId="2" borderId="8" xfId="0" applyFont="1" applyFill="1" applyBorder="1" applyAlignment="1">
      <alignment horizontal="center" vertical="center"/>
    </xf>
    <xf numFmtId="164" fontId="4" fillId="2" borderId="8" xfId="0" applyNumberFormat="1" applyFont="1" applyFill="1" applyBorder="1" applyAlignment="1">
      <alignment horizontal="center" vertical="center"/>
    </xf>
    <xf numFmtId="0" fontId="3" fillId="2" borderId="9" xfId="0" quotePrefix="1" applyFont="1" applyFill="1" applyBorder="1" applyAlignment="1">
      <alignment horizontal="center" vertical="center"/>
    </xf>
    <xf numFmtId="0" fontId="10" fillId="4" borderId="1" xfId="0" applyFont="1" applyFill="1" applyBorder="1" applyAlignment="1">
      <alignment horizontal="center" vertical="center"/>
    </xf>
    <xf numFmtId="0" fontId="9" fillId="5" borderId="1" xfId="0" applyFont="1" applyFill="1" applyBorder="1" applyAlignment="1">
      <alignment vertical="center"/>
    </xf>
    <xf numFmtId="165" fontId="19" fillId="5" borderId="22" xfId="2" applyFont="1" applyFill="1" applyBorder="1" applyAlignment="1">
      <alignment horizontal="center" vertical="center"/>
    </xf>
    <xf numFmtId="165" fontId="19" fillId="5" borderId="6" xfId="2" applyFont="1" applyFill="1" applyBorder="1" applyAlignment="1">
      <alignment horizontal="center" vertical="center"/>
    </xf>
    <xf numFmtId="165" fontId="19" fillId="5" borderId="20" xfId="2" applyFont="1" applyFill="1" applyBorder="1" applyAlignment="1">
      <alignment horizontal="center" vertical="center"/>
    </xf>
    <xf numFmtId="165" fontId="19" fillId="5" borderId="14" xfId="2" applyFont="1" applyFill="1" applyBorder="1" applyAlignment="1">
      <alignment horizontal="center" vertical="center"/>
    </xf>
    <xf numFmtId="165" fontId="19" fillId="5" borderId="10" xfId="2" applyFont="1" applyFill="1" applyBorder="1" applyAlignment="1">
      <alignment horizontal="center" vertical="center"/>
    </xf>
    <xf numFmtId="0" fontId="4" fillId="0" borderId="8" xfId="0" applyNumberFormat="1" applyFont="1" applyBorder="1" applyAlignment="1">
      <alignment horizontal="center" vertical="center"/>
    </xf>
    <xf numFmtId="0" fontId="23" fillId="0" borderId="0" xfId="0" applyFont="1"/>
    <xf numFmtId="0" fontId="0" fillId="0" borderId="2" xfId="0" applyBorder="1"/>
    <xf numFmtId="0" fontId="0" fillId="0" borderId="3" xfId="0" applyBorder="1"/>
    <xf numFmtId="0" fontId="0" fillId="0" borderId="4" xfId="0" applyBorder="1"/>
    <xf numFmtId="0" fontId="0" fillId="0" borderId="0" xfId="0" applyBorder="1"/>
    <xf numFmtId="0" fontId="0" fillId="0" borderId="6" xfId="0" applyBorder="1"/>
    <xf numFmtId="0" fontId="0" fillId="0" borderId="8" xfId="0" applyBorder="1"/>
    <xf numFmtId="0" fontId="0" fillId="0" borderId="9" xfId="0" applyBorder="1"/>
    <xf numFmtId="0" fontId="0" fillId="0" borderId="5" xfId="0" applyBorder="1"/>
    <xf numFmtId="0" fontId="0" fillId="0" borderId="7" xfId="0" applyBorder="1"/>
    <xf numFmtId="0" fontId="0" fillId="0" borderId="2" xfId="0" applyFont="1" applyBorder="1"/>
    <xf numFmtId="0" fontId="24" fillId="0" borderId="5" xfId="0" applyFont="1" applyBorder="1"/>
    <xf numFmtId="0" fontId="24" fillId="0" borderId="7" xfId="0" applyFont="1" applyBorder="1"/>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quotePrefix="1" applyFont="1" applyFill="1" applyBorder="1" applyAlignment="1">
      <alignment horizontal="center" vertical="center"/>
    </xf>
    <xf numFmtId="0" fontId="4" fillId="2" borderId="6" xfId="0" quotePrefix="1" applyFont="1" applyFill="1" applyBorder="1" applyAlignment="1">
      <alignment horizontal="center" vertical="center"/>
    </xf>
    <xf numFmtId="164" fontId="4" fillId="2" borderId="0" xfId="0" applyNumberFormat="1" applyFont="1" applyFill="1" applyBorder="1" applyAlignment="1">
      <alignment horizontal="center" vertical="center"/>
    </xf>
    <xf numFmtId="0" fontId="3" fillId="2" borderId="0" xfId="0" quotePrefix="1" applyFont="1" applyFill="1" applyBorder="1" applyAlignment="1">
      <alignment horizontal="center" vertical="center"/>
    </xf>
    <xf numFmtId="164" fontId="4" fillId="2"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3" fillId="2" borderId="9" xfId="0" quotePrefix="1" applyFont="1" applyFill="1" applyBorder="1" applyAlignment="1">
      <alignment horizontal="center" vertical="center"/>
    </xf>
    <xf numFmtId="0" fontId="25" fillId="0" borderId="0" xfId="0" applyFont="1"/>
    <xf numFmtId="0" fontId="7" fillId="6" borderId="32" xfId="0" applyFont="1" applyFill="1" applyBorder="1" applyAlignment="1">
      <alignment vertical="top" wrapText="1"/>
    </xf>
    <xf numFmtId="0" fontId="7" fillId="6" borderId="32" xfId="0" applyFont="1" applyFill="1" applyBorder="1" applyAlignment="1">
      <alignment horizontal="center" vertical="top" wrapText="1"/>
    </xf>
    <xf numFmtId="0" fontId="0" fillId="0" borderId="0" xfId="0"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7" fillId="0" borderId="2"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27" fillId="0" borderId="0" xfId="0" applyFont="1" applyAlignment="1">
      <alignment vertical="top"/>
    </xf>
    <xf numFmtId="0" fontId="3"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177" fontId="9" fillId="0" borderId="0" xfId="0" applyNumberFormat="1" applyFont="1"/>
    <xf numFmtId="164" fontId="9" fillId="0" borderId="0" xfId="0" applyNumberFormat="1" applyFont="1"/>
    <xf numFmtId="2" fontId="9" fillId="0" borderId="0" xfId="0" applyNumberFormat="1" applyFont="1"/>
    <xf numFmtId="43" fontId="0" fillId="0" borderId="0" xfId="1" applyNumberFormat="1" applyFont="1" applyAlignment="1">
      <alignment vertical="center"/>
    </xf>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6" fillId="3" borderId="0" xfId="0" applyFont="1" applyFill="1" applyBorder="1" applyAlignment="1">
      <alignment horizontal="center" vertical="center"/>
    </xf>
    <xf numFmtId="0" fontId="1" fillId="3" borderId="5" xfId="0" quotePrefix="1" applyFont="1" applyFill="1" applyBorder="1" applyAlignment="1">
      <alignment horizontal="center"/>
    </xf>
    <xf numFmtId="0" fontId="3" fillId="0" borderId="0" xfId="0" quotePrefix="1" applyFont="1" applyBorder="1" applyAlignment="1">
      <alignment horizontal="center" vertical="center"/>
    </xf>
    <xf numFmtId="175" fontId="4" fillId="0" borderId="3" xfId="0" quotePrefix="1" applyNumberFormat="1" applyFont="1" applyBorder="1" applyAlignment="1">
      <alignment horizontal="center" vertical="center"/>
    </xf>
    <xf numFmtId="176" fontId="4" fillId="0" borderId="3" xfId="0" quotePrefix="1" applyNumberFormat="1" applyFont="1" applyBorder="1" applyAlignment="1">
      <alignment horizontal="center" vertical="center"/>
    </xf>
    <xf numFmtId="179" fontId="4" fillId="0" borderId="0" xfId="0" applyNumberFormat="1" applyFont="1" applyBorder="1" applyAlignment="1">
      <alignment horizontal="center" vertical="center"/>
    </xf>
    <xf numFmtId="175" fontId="4" fillId="0" borderId="5" xfId="0" applyNumberFormat="1" applyFont="1" applyBorder="1" applyAlignment="1">
      <alignment horizontal="center" vertical="center"/>
    </xf>
    <xf numFmtId="175" fontId="4" fillId="0" borderId="5" xfId="0" quotePrefix="1" applyNumberFormat="1" applyFont="1" applyBorder="1" applyAlignment="1">
      <alignment horizontal="center" vertical="center"/>
    </xf>
    <xf numFmtId="176" fontId="4" fillId="0" borderId="5" xfId="0" quotePrefix="1" applyNumberFormat="1" applyFont="1" applyBorder="1" applyAlignment="1">
      <alignment horizontal="center" vertical="center"/>
    </xf>
    <xf numFmtId="176" fontId="4" fillId="0" borderId="0" xfId="0" applyNumberFormat="1" applyFont="1" applyBorder="1" applyAlignment="1">
      <alignment horizontal="center" vertical="center"/>
    </xf>
    <xf numFmtId="175" fontId="4" fillId="0" borderId="0" xfId="0" quotePrefix="1" applyNumberFormat="1" applyFont="1" applyBorder="1" applyAlignment="1">
      <alignment horizontal="center" vertical="center"/>
    </xf>
    <xf numFmtId="176" fontId="4" fillId="2" borderId="5" xfId="0" quotePrefix="1"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7" fontId="4" fillId="2" borderId="0" xfId="0" applyNumberFormat="1" applyFont="1" applyFill="1" applyBorder="1" applyAlignment="1">
      <alignment horizontal="center" vertical="center"/>
    </xf>
    <xf numFmtId="176" fontId="4" fillId="0" borderId="0" xfId="0" quotePrefix="1" applyNumberFormat="1" applyFont="1" applyBorder="1" applyAlignment="1">
      <alignment horizontal="center" vertical="center"/>
    </xf>
    <xf numFmtId="175" fontId="4" fillId="0" borderId="6" xfId="0" quotePrefix="1" applyNumberFormat="1" applyFont="1" applyBorder="1" applyAlignment="1">
      <alignment horizontal="center" vertical="center"/>
    </xf>
    <xf numFmtId="176" fontId="4" fillId="2" borderId="6" xfId="0" applyNumberFormat="1" applyFont="1" applyFill="1" applyBorder="1" applyAlignment="1">
      <alignment horizontal="center" vertical="center"/>
    </xf>
    <xf numFmtId="177" fontId="4" fillId="2" borderId="6" xfId="0" applyNumberFormat="1" applyFont="1" applyFill="1" applyBorder="1" applyAlignment="1">
      <alignment horizontal="center" vertical="center"/>
    </xf>
    <xf numFmtId="176" fontId="4" fillId="0" borderId="6" xfId="0" quotePrefix="1" applyNumberFormat="1" applyFont="1" applyBorder="1" applyAlignment="1">
      <alignment horizontal="center" vertical="center"/>
    </xf>
    <xf numFmtId="176" fontId="4" fillId="2" borderId="7" xfId="0" quotePrefix="1" applyNumberFormat="1" applyFont="1" applyFill="1" applyBorder="1" applyAlignment="1">
      <alignment horizontal="center" vertical="center"/>
    </xf>
    <xf numFmtId="175" fontId="0" fillId="0" borderId="0" xfId="0" applyNumberFormat="1"/>
    <xf numFmtId="176" fontId="4" fillId="2" borderId="8" xfId="0" applyNumberFormat="1" applyFont="1" applyFill="1" applyBorder="1" applyAlignment="1">
      <alignment horizontal="center" vertical="center"/>
    </xf>
    <xf numFmtId="176" fontId="4" fillId="2" borderId="8" xfId="0" quotePrefix="1" applyNumberFormat="1" applyFont="1" applyFill="1" applyBorder="1" applyAlignment="1">
      <alignment horizontal="center" vertical="center"/>
    </xf>
    <xf numFmtId="0" fontId="28" fillId="6" borderId="32" xfId="0" applyFont="1" applyFill="1" applyBorder="1" applyAlignment="1">
      <alignment vertical="center" wrapText="1"/>
    </xf>
    <xf numFmtId="0" fontId="28" fillId="6" borderId="32" xfId="0" applyFont="1" applyFill="1" applyBorder="1" applyAlignment="1">
      <alignment horizontal="center" vertical="center" wrapText="1"/>
    </xf>
    <xf numFmtId="0" fontId="6" fillId="3" borderId="0" xfId="0" quotePrefix="1" applyFont="1" applyFill="1" applyBorder="1" applyAlignment="1">
      <alignment horizontal="center" vertical="center"/>
    </xf>
    <xf numFmtId="177" fontId="4" fillId="2" borderId="0" xfId="0" quotePrefix="1" applyNumberFormat="1" applyFont="1" applyFill="1" applyBorder="1" applyAlignment="1">
      <alignment horizontal="center" vertical="center"/>
    </xf>
    <xf numFmtId="178" fontId="3" fillId="0" borderId="0" xfId="1" applyNumberFormat="1" applyFont="1" applyBorder="1" applyAlignment="1">
      <alignment horizontal="center" vertical="center"/>
    </xf>
    <xf numFmtId="11" fontId="4" fillId="0" borderId="3" xfId="0" quotePrefix="1" applyNumberFormat="1" applyFont="1" applyBorder="1" applyAlignment="1">
      <alignment horizontal="center" vertical="center"/>
    </xf>
    <xf numFmtId="11" fontId="4" fillId="2" borderId="0" xfId="0" quotePrefix="1" applyNumberFormat="1" applyFont="1" applyFill="1" applyBorder="1" applyAlignment="1">
      <alignment horizontal="center" vertical="center"/>
    </xf>
    <xf numFmtId="11" fontId="4" fillId="2" borderId="8"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3" xfId="0" quotePrefix="1" applyFont="1" applyFill="1" applyBorder="1" applyAlignment="1">
      <alignment horizontal="center" vertical="center"/>
    </xf>
    <xf numFmtId="0" fontId="6" fillId="3" borderId="4" xfId="0" quotePrefix="1" applyFont="1" applyFill="1" applyBorder="1" applyAlignment="1">
      <alignment horizontal="center" vertical="center"/>
    </xf>
    <xf numFmtId="0" fontId="0" fillId="3" borderId="5" xfId="0" applyFill="1" applyBorder="1"/>
    <xf numFmtId="0" fontId="6" fillId="3" borderId="6" xfId="0" quotePrefix="1" applyFont="1" applyFill="1" applyBorder="1" applyAlignment="1">
      <alignment horizontal="center" vertical="center"/>
    </xf>
    <xf numFmtId="176" fontId="4" fillId="0" borderId="6" xfId="0" applyNumberFormat="1" applyFont="1" applyBorder="1" applyAlignment="1">
      <alignment horizontal="center" vertical="center"/>
    </xf>
    <xf numFmtId="177" fontId="4" fillId="0" borderId="3" xfId="0" quotePrefix="1" applyNumberFormat="1" applyFont="1" applyBorder="1" applyAlignment="1">
      <alignment horizontal="center" vertical="center"/>
    </xf>
    <xf numFmtId="0" fontId="6" fillId="3" borderId="0" xfId="4" applyFont="1" applyFill="1" applyAlignment="1">
      <alignment vertical="center"/>
    </xf>
    <xf numFmtId="0" fontId="6" fillId="7" borderId="0" xfId="4" applyFont="1" applyFill="1" applyAlignment="1">
      <alignment vertical="center"/>
    </xf>
    <xf numFmtId="0" fontId="9" fillId="0" borderId="0" xfId="0" applyFont="1" applyAlignment="1">
      <alignment vertical="center"/>
    </xf>
    <xf numFmtId="0" fontId="9" fillId="5" borderId="33" xfId="0" applyFont="1" applyFill="1" applyBorder="1" applyAlignment="1">
      <alignment vertical="center"/>
    </xf>
    <xf numFmtId="0" fontId="9" fillId="5" borderId="31" xfId="0" applyFont="1" applyFill="1" applyBorder="1" applyAlignment="1">
      <alignment vertical="center"/>
    </xf>
    <xf numFmtId="0" fontId="7" fillId="0" borderId="35" xfId="0" applyFont="1" applyBorder="1" applyAlignment="1">
      <alignment vertical="center"/>
    </xf>
    <xf numFmtId="0" fontId="7" fillId="0" borderId="35" xfId="0" applyFont="1" applyBorder="1" applyAlignment="1">
      <alignment horizontal="center" vertical="center"/>
    </xf>
    <xf numFmtId="0" fontId="7" fillId="0" borderId="28" xfId="0" applyFont="1" applyBorder="1" applyAlignment="1">
      <alignment horizontal="center" vertical="center"/>
    </xf>
    <xf numFmtId="0" fontId="32" fillId="5" borderId="2" xfId="0" applyFont="1" applyFill="1" applyBorder="1" applyAlignment="1">
      <alignment horizontal="center" vertical="center"/>
    </xf>
    <xf numFmtId="0" fontId="32" fillId="5" borderId="5"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5" xfId="0" applyFont="1" applyFill="1" applyBorder="1" applyAlignment="1">
      <alignment vertical="center"/>
    </xf>
    <xf numFmtId="0" fontId="32" fillId="5" borderId="7" xfId="0" applyFont="1" applyFill="1" applyBorder="1" applyAlignment="1">
      <alignment vertical="center"/>
    </xf>
    <xf numFmtId="0" fontId="32" fillId="5" borderId="0" xfId="0" applyFont="1" applyFill="1" applyBorder="1" applyAlignment="1">
      <alignment horizontal="center" vertical="center"/>
    </xf>
    <xf numFmtId="0" fontId="32" fillId="5" borderId="8" xfId="0" applyFont="1" applyFill="1" applyBorder="1" applyAlignment="1">
      <alignment horizontal="center" vertical="center"/>
    </xf>
    <xf numFmtId="0" fontId="7" fillId="0" borderId="0" xfId="0" applyFont="1" applyAlignment="1">
      <alignment horizontal="left"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9" xfId="0" applyFont="1" applyFill="1" applyBorder="1" applyAlignment="1">
      <alignment horizontal="center" vertical="center"/>
    </xf>
    <xf numFmtId="0" fontId="33" fillId="3" borderId="5" xfId="0" applyFont="1" applyFill="1" applyBorder="1" applyAlignment="1">
      <alignment vertical="center"/>
    </xf>
    <xf numFmtId="11" fontId="7" fillId="6" borderId="32" xfId="0" applyNumberFormat="1" applyFont="1" applyFill="1" applyBorder="1" applyAlignment="1">
      <alignment vertical="center" wrapText="1"/>
    </xf>
    <xf numFmtId="0" fontId="7" fillId="6" borderId="32" xfId="0" applyFont="1" applyFill="1" applyBorder="1" applyAlignment="1">
      <alignment horizontal="center" vertical="center" wrapText="1"/>
    </xf>
    <xf numFmtId="3" fontId="7" fillId="6" borderId="32" xfId="0" applyNumberFormat="1" applyFont="1" applyFill="1" applyBorder="1" applyAlignment="1">
      <alignment horizontal="center" vertical="center" wrapText="1"/>
    </xf>
    <xf numFmtId="0" fontId="26" fillId="0" borderId="0" xfId="4"/>
    <xf numFmtId="0" fontId="4" fillId="2" borderId="0" xfId="0" quotePrefix="1" applyFont="1" applyFill="1" applyBorder="1" applyAlignment="1">
      <alignment horizontal="center" vertical="center"/>
    </xf>
    <xf numFmtId="0" fontId="4" fillId="2" borderId="6" xfId="0" quotePrefix="1" applyFont="1" applyFill="1" applyBorder="1" applyAlignment="1">
      <alignment horizontal="center" vertical="center"/>
    </xf>
    <xf numFmtId="0" fontId="4" fillId="0" borderId="0" xfId="0" quotePrefix="1" applyFont="1" applyFill="1" applyBorder="1" applyAlignment="1">
      <alignment horizontal="center" vertical="center"/>
    </xf>
    <xf numFmtId="164" fontId="4" fillId="2" borderId="0"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6" xfId="0" quotePrefix="1" applyFont="1" applyFill="1" applyBorder="1" applyAlignment="1">
      <alignment horizontal="center" vertical="center"/>
    </xf>
    <xf numFmtId="0" fontId="3" fillId="2" borderId="0" xfId="0" quotePrefix="1" applyFont="1" applyFill="1" applyBorder="1" applyAlignment="1">
      <alignment horizontal="center" vertical="center"/>
    </xf>
    <xf numFmtId="0" fontId="3" fillId="2" borderId="6" xfId="0" quotePrefix="1" applyFont="1" applyFill="1" applyBorder="1" applyAlignment="1">
      <alignment horizontal="center" vertical="center"/>
    </xf>
    <xf numFmtId="0" fontId="3" fillId="2" borderId="8" xfId="0" quotePrefix="1" applyFont="1" applyFill="1" applyBorder="1" applyAlignment="1">
      <alignment horizontal="center" vertical="center"/>
    </xf>
    <xf numFmtId="0" fontId="3" fillId="2" borderId="9" xfId="0" quotePrefix="1" applyFont="1" applyFill="1" applyBorder="1" applyAlignment="1">
      <alignment horizontal="center" vertical="center"/>
    </xf>
    <xf numFmtId="0" fontId="6" fillId="3" borderId="28" xfId="0" applyFont="1" applyFill="1" applyBorder="1" applyAlignment="1">
      <alignment horizontal="center" vertical="center"/>
    </xf>
    <xf numFmtId="0" fontId="6" fillId="3" borderId="28" xfId="0" quotePrefix="1" applyFont="1" applyFill="1" applyBorder="1" applyAlignment="1">
      <alignment horizontal="center" vertical="center"/>
    </xf>
    <xf numFmtId="0" fontId="6" fillId="3" borderId="29" xfId="0" quotePrefix="1"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4" fillId="0" borderId="3" xfId="0" quotePrefix="1" applyFont="1" applyFill="1" applyBorder="1" applyAlignment="1">
      <alignment horizontal="center" vertical="center"/>
    </xf>
    <xf numFmtId="0" fontId="4" fillId="0" borderId="5"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4" fillId="2" borderId="7" xfId="0" quotePrefix="1" applyFont="1" applyFill="1" applyBorder="1" applyAlignment="1">
      <alignment horizontal="center" vertical="center"/>
    </xf>
    <xf numFmtId="0" fontId="4" fillId="2" borderId="8" xfId="0" quotePrefix="1" applyFont="1" applyFill="1" applyBorder="1" applyAlignment="1">
      <alignment horizontal="center" vertical="center"/>
    </xf>
    <xf numFmtId="0" fontId="4" fillId="2"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4" xfId="0" quotePrefix="1" applyFont="1" applyFill="1" applyBorder="1" applyAlignment="1">
      <alignment horizontal="center" vertical="center"/>
    </xf>
    <xf numFmtId="0" fontId="3" fillId="2" borderId="0" xfId="0" applyFont="1" applyFill="1" applyBorder="1" applyAlignment="1">
      <alignment horizontal="center" vertical="center"/>
    </xf>
    <xf numFmtId="0" fontId="1" fillId="3" borderId="30" xfId="0" quotePrefix="1" applyFont="1" applyFill="1" applyBorder="1" applyAlignment="1">
      <alignment horizontal="center" vertical="center"/>
    </xf>
    <xf numFmtId="164" fontId="4" fillId="2" borderId="0" xfId="0" quotePrefix="1"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3" xfId="0" quotePrefix="1" applyFont="1" applyFill="1" applyBorder="1" applyAlignment="1">
      <alignment horizontal="center" vertical="center"/>
    </xf>
    <xf numFmtId="0" fontId="6" fillId="3" borderId="4" xfId="0" quotePrefix="1" applyFont="1" applyFill="1" applyBorder="1" applyAlignment="1">
      <alignment horizontal="center" vertical="center"/>
    </xf>
    <xf numFmtId="0" fontId="7" fillId="0" borderId="0" xfId="0" applyFont="1" applyAlignment="1">
      <alignment horizontal="left" vertical="top" wrapText="1"/>
    </xf>
    <xf numFmtId="0" fontId="28" fillId="6" borderId="32"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33" fillId="3" borderId="2" xfId="0" applyFont="1" applyFill="1" applyBorder="1" applyAlignment="1">
      <alignment horizontal="center" vertical="center"/>
    </xf>
    <xf numFmtId="0" fontId="33" fillId="3" borderId="5" xfId="0" applyFont="1" applyFill="1" applyBorder="1" applyAlignment="1">
      <alignment horizontal="center" vertical="center"/>
    </xf>
  </cellXfs>
  <cellStyles count="5">
    <cellStyle name="Comma" xfId="1" builtinId="3"/>
    <cellStyle name="Hyperlink" xfId="4" builtinId="8"/>
    <cellStyle name="Normal" xfId="0" builtinId="0"/>
    <cellStyle name="Normal 2" xfId="3" xr:uid="{00000000-0005-0000-0000-000003000000}"/>
    <cellStyle name="Normal_ISO697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2" name="Picture 41" descr="C:\Dropbox\Sigma\07. Images\Logos\Commercial grey.png">
          <a:hlinkClick xmlns:r="http://schemas.openxmlformats.org/officeDocument/2006/relationships" r:id="rId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1790</xdr:colOff>
      <xdr:row>8</xdr:row>
      <xdr:rowOff>101390</xdr:rowOff>
    </xdr:from>
    <xdr:to>
      <xdr:col>8</xdr:col>
      <xdr:colOff>247316</xdr:colOff>
      <xdr:row>8</xdr:row>
      <xdr:rowOff>197184</xdr:rowOff>
    </xdr:to>
    <xdr:sp macro="" textlink="">
      <xdr:nvSpPr>
        <xdr:cNvPr id="45" name="Right Arrow 44">
          <a:extLst>
            <a:ext uri="{FF2B5EF4-FFF2-40B4-BE49-F238E27FC236}">
              <a16:creationId xmlns:a16="http://schemas.microsoft.com/office/drawing/2014/main" id="{00000000-0008-0000-0000-00002D000000}"/>
            </a:ext>
          </a:extLst>
        </xdr:cNvPr>
        <xdr:cNvSpPr/>
      </xdr:nvSpPr>
      <xdr:spPr>
        <a:xfrm>
          <a:off x="4453474" y="2507706"/>
          <a:ext cx="1057658" cy="95794"/>
        </a:xfrm>
        <a:prstGeom prst="rightArrow">
          <a:avLst>
            <a:gd name="adj1" fmla="val 50000"/>
            <a:gd name="adj2" fmla="val 92105"/>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357889</xdr:colOff>
      <xdr:row>6</xdr:row>
      <xdr:rowOff>7876</xdr:rowOff>
    </xdr:from>
    <xdr:to>
      <xdr:col>8</xdr:col>
      <xdr:colOff>453139</xdr:colOff>
      <xdr:row>7</xdr:row>
      <xdr:rowOff>268335</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6200000">
          <a:off x="5395390" y="2065665"/>
          <a:ext cx="547880" cy="95250"/>
        </a:xfrm>
        <a:prstGeom prst="rightArrow">
          <a:avLst>
            <a:gd name="adj1" fmla="val 50000"/>
            <a:gd name="adj2" fmla="val 85088"/>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250942</xdr:colOff>
      <xdr:row>7</xdr:row>
      <xdr:rowOff>279232</xdr:rowOff>
    </xdr:from>
    <xdr:to>
      <xdr:col>8</xdr:col>
      <xdr:colOff>571757</xdr:colOff>
      <xdr:row>9</xdr:row>
      <xdr:rowOff>26342</xdr:rowOff>
    </xdr:to>
    <xdr:sp macro="" textlink="">
      <xdr:nvSpPr>
        <xdr:cNvPr id="49" name="Oval 48">
          <a:extLst>
            <a:ext uri="{FF2B5EF4-FFF2-40B4-BE49-F238E27FC236}">
              <a16:creationId xmlns:a16="http://schemas.microsoft.com/office/drawing/2014/main" id="{00000000-0008-0000-0000-000031000000}"/>
            </a:ext>
          </a:extLst>
        </xdr:cNvPr>
        <xdr:cNvSpPr/>
      </xdr:nvSpPr>
      <xdr:spPr>
        <a:xfrm>
          <a:off x="5514758" y="2398127"/>
          <a:ext cx="320815" cy="321952"/>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404395</xdr:colOff>
      <xdr:row>3</xdr:row>
      <xdr:rowOff>167105</xdr:rowOff>
    </xdr:from>
    <xdr:to>
      <xdr:col>3</xdr:col>
      <xdr:colOff>404395</xdr:colOff>
      <xdr:row>5</xdr:row>
      <xdr:rowOff>3342</xdr:rowOff>
    </xdr:to>
    <xdr:cxnSp macro="">
      <xdr:nvCxnSpPr>
        <xdr:cNvPr id="51" name="Straight Arrow Connector 50">
          <a:extLst>
            <a:ext uri="{FF2B5EF4-FFF2-40B4-BE49-F238E27FC236}">
              <a16:creationId xmlns:a16="http://schemas.microsoft.com/office/drawing/2014/main" id="{00000000-0008-0000-0000-000033000000}"/>
            </a:ext>
          </a:extLst>
        </xdr:cNvPr>
        <xdr:cNvCxnSpPr/>
      </xdr:nvCxnSpPr>
      <xdr:spPr>
        <a:xfrm>
          <a:off x="2596816" y="1136316"/>
          <a:ext cx="0" cy="411079"/>
        </a:xfrm>
        <a:prstGeom prst="straightConnector1">
          <a:avLst/>
        </a:prstGeom>
        <a:ln w="254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391027</xdr:colOff>
      <xdr:row>4</xdr:row>
      <xdr:rowOff>133684</xdr:rowOff>
    </xdr:from>
    <xdr:to>
      <xdr:col>4</xdr:col>
      <xdr:colOff>544764</xdr:colOff>
      <xdr:row>5</xdr:row>
      <xdr:rowOff>93579</xdr:rowOff>
    </xdr:to>
    <xdr:cxnSp macro="">
      <xdr:nvCxnSpPr>
        <xdr:cNvPr id="53" name="Straight Arrow Connector 52">
          <a:extLst>
            <a:ext uri="{FF2B5EF4-FFF2-40B4-BE49-F238E27FC236}">
              <a16:creationId xmlns:a16="http://schemas.microsoft.com/office/drawing/2014/main" id="{00000000-0008-0000-0000-000035000000}"/>
            </a:ext>
          </a:extLst>
        </xdr:cNvPr>
        <xdr:cNvCxnSpPr/>
      </xdr:nvCxnSpPr>
      <xdr:spPr>
        <a:xfrm flipH="1">
          <a:off x="3358816" y="1390316"/>
          <a:ext cx="153737" cy="247316"/>
        </a:xfrm>
        <a:prstGeom prst="straightConnector1">
          <a:avLst/>
        </a:prstGeom>
        <a:ln w="254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403624</xdr:colOff>
      <xdr:row>3</xdr:row>
      <xdr:rowOff>164278</xdr:rowOff>
    </xdr:from>
    <xdr:to>
      <xdr:col>3</xdr:col>
      <xdr:colOff>403624</xdr:colOff>
      <xdr:row>5</xdr:row>
      <xdr:rowOff>515</xdr:rowOff>
    </xdr:to>
    <xdr:cxnSp macro="">
      <xdr:nvCxnSpPr>
        <xdr:cNvPr id="54" name="Straight Arrow Connector 53">
          <a:extLst>
            <a:ext uri="{FF2B5EF4-FFF2-40B4-BE49-F238E27FC236}">
              <a16:creationId xmlns:a16="http://schemas.microsoft.com/office/drawing/2014/main" id="{00000000-0008-0000-0000-000036000000}"/>
            </a:ext>
          </a:extLst>
        </xdr:cNvPr>
        <xdr:cNvCxnSpPr/>
      </xdr:nvCxnSpPr>
      <xdr:spPr>
        <a:xfrm>
          <a:off x="2596816" y="1136316"/>
          <a:ext cx="0" cy="412622"/>
        </a:xfrm>
        <a:prstGeom prst="straightConnector1">
          <a:avLst/>
        </a:prstGeom>
        <a:ln w="254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332154</xdr:colOff>
      <xdr:row>10</xdr:row>
      <xdr:rowOff>161192</xdr:rowOff>
    </xdr:from>
    <xdr:to>
      <xdr:col>3</xdr:col>
      <xdr:colOff>464039</xdr:colOff>
      <xdr:row>12</xdr:row>
      <xdr:rowOff>19539</xdr:rowOff>
    </xdr:to>
    <xdr:cxnSp macro="">
      <xdr:nvCxnSpPr>
        <xdr:cNvPr id="55" name="Straight Arrow Connector 54">
          <a:extLst>
            <a:ext uri="{FF2B5EF4-FFF2-40B4-BE49-F238E27FC236}">
              <a16:creationId xmlns:a16="http://schemas.microsoft.com/office/drawing/2014/main" id="{00000000-0008-0000-0000-000037000000}"/>
            </a:ext>
          </a:extLst>
        </xdr:cNvPr>
        <xdr:cNvCxnSpPr/>
      </xdr:nvCxnSpPr>
      <xdr:spPr>
        <a:xfrm flipV="1">
          <a:off x="2525346" y="3150577"/>
          <a:ext cx="131885" cy="434731"/>
        </a:xfrm>
        <a:prstGeom prst="straightConnector1">
          <a:avLst/>
        </a:prstGeom>
        <a:ln w="254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184150</xdr:colOff>
      <xdr:row>6</xdr:row>
      <xdr:rowOff>38101</xdr:rowOff>
    </xdr:from>
    <xdr:to>
      <xdr:col>5</xdr:col>
      <xdr:colOff>0</xdr:colOff>
      <xdr:row>10</xdr:row>
      <xdr:rowOff>165461</xdr:rowOff>
    </xdr:to>
    <xdr:sp macro="" textlink="">
      <xdr:nvSpPr>
        <xdr:cNvPr id="57" name="Oval 56">
          <a:extLst>
            <a:ext uri="{FF2B5EF4-FFF2-40B4-BE49-F238E27FC236}">
              <a16:creationId xmlns:a16="http://schemas.microsoft.com/office/drawing/2014/main" id="{00000000-0008-0000-0000-000039000000}"/>
            </a:ext>
          </a:extLst>
        </xdr:cNvPr>
        <xdr:cNvSpPr/>
      </xdr:nvSpPr>
      <xdr:spPr>
        <a:xfrm>
          <a:off x="1803400" y="1866901"/>
          <a:ext cx="1428750" cy="1270360"/>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9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A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B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C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4" name="Picture 43" descr="C:\Dropbox\Sigma\07. Images\Logos\Commercial grey.png">
          <a:hlinkClick xmlns:r="http://schemas.openxmlformats.org/officeDocument/2006/relationships" r:id="rId1"/>
          <a:extLst>
            <a:ext uri="{FF2B5EF4-FFF2-40B4-BE49-F238E27FC236}">
              <a16:creationId xmlns:a16="http://schemas.microsoft.com/office/drawing/2014/main" id="{00000000-0008-0000-0D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298450</xdr:colOff>
      <xdr:row>13</xdr:row>
      <xdr:rowOff>177800</xdr:rowOff>
    </xdr:from>
    <xdr:ext cx="1318502" cy="349648"/>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D00-00002D000000}"/>
                </a:ext>
              </a:extLst>
            </xdr:cNvPr>
            <xdr:cNvSpPr txBox="1"/>
          </xdr:nvSpPr>
          <xdr:spPr>
            <a:xfrm>
              <a:off x="8807450" y="4006850"/>
              <a:ext cx="1318502"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GB" sz="1100" b="0" i="0">
                        <a:latin typeface="Cambria Math" panose="02040503050406030204" pitchFamily="18" charset="0"/>
                      </a:rPr>
                      <m:t>Wobbe</m:t>
                    </m:r>
                    <m:r>
                      <a:rPr lang="en-GB" sz="1100" b="0" i="0">
                        <a:latin typeface="Cambria Math" panose="02040503050406030204" pitchFamily="18" charset="0"/>
                      </a:rPr>
                      <m:t> </m:t>
                    </m:r>
                    <m:r>
                      <m:rPr>
                        <m:sty m:val="p"/>
                      </m:rPr>
                      <a:rPr lang="en-GB" sz="1100" b="0" i="0">
                        <a:latin typeface="Cambria Math" panose="02040503050406030204" pitchFamily="18" charset="0"/>
                      </a:rPr>
                      <m:t>Index</m:t>
                    </m:r>
                    <m:r>
                      <a:rPr lang="en-GB" sz="1100" b="0" i="0">
                        <a:latin typeface="Cambria Math" panose="02040503050406030204" pitchFamily="18" charset="0"/>
                      </a:rPr>
                      <m:t>= </m:t>
                    </m:r>
                    <m:f>
                      <m:fPr>
                        <m:ctrlPr>
                          <a:rPr lang="en-GB" sz="1100" b="0" i="1">
                            <a:latin typeface="Cambria Math" panose="02040503050406030204" pitchFamily="18" charset="0"/>
                          </a:rPr>
                        </m:ctrlPr>
                      </m:fPr>
                      <m:num>
                        <m:r>
                          <a:rPr lang="en-GB" sz="1100" b="0" i="1">
                            <a:latin typeface="Cambria Math" panose="02040503050406030204" pitchFamily="18" charset="0"/>
                          </a:rPr>
                          <m:t>𝐺𝐶𝑉</m:t>
                        </m:r>
                      </m:num>
                      <m:den>
                        <m:rad>
                          <m:radPr>
                            <m:degHide m:val="on"/>
                            <m:ctrlPr>
                              <a:rPr lang="en-GB" sz="1100" b="0" i="1">
                                <a:latin typeface="Cambria Math" panose="02040503050406030204" pitchFamily="18" charset="0"/>
                              </a:rPr>
                            </m:ctrlPr>
                          </m:radPr>
                          <m:deg/>
                          <m:e>
                            <m:r>
                              <a:rPr lang="en-GB" sz="1100" b="0" i="1">
                                <a:latin typeface="Cambria Math" panose="02040503050406030204" pitchFamily="18" charset="0"/>
                              </a:rPr>
                              <m:t>𝑆𝐺</m:t>
                            </m:r>
                          </m:e>
                        </m:rad>
                      </m:den>
                    </m:f>
                  </m:oMath>
                </m:oMathPara>
              </a14:m>
              <a:endParaRPr lang="en-GB" sz="1100" i="0">
                <a:latin typeface="Adobe Pi Std" panose="05020102010706070708" pitchFamily="82" charset="0"/>
                <a:cs typeface="Arial" panose="020B0604020202020204" pitchFamily="34" charset="0"/>
              </a:endParaRPr>
            </a:p>
          </xdr:txBody>
        </xdr:sp>
      </mc:Choice>
      <mc:Fallback xmlns="">
        <xdr:sp macro="" textlink="">
          <xdr:nvSpPr>
            <xdr:cNvPr id="45" name="TextBox 44"/>
            <xdr:cNvSpPr txBox="1"/>
          </xdr:nvSpPr>
          <xdr:spPr>
            <a:xfrm>
              <a:off x="8807450" y="4006850"/>
              <a:ext cx="1318502" cy="349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b="0" i="0">
                  <a:latin typeface="Cambria Math" panose="02040503050406030204" pitchFamily="18" charset="0"/>
                </a:rPr>
                <a:t>Wobbe Index=  𝐺𝐶𝑉/√𝑆𝐺</a:t>
              </a:r>
              <a:endParaRPr lang="en-GB" sz="1100" i="0">
                <a:latin typeface="Adobe Pi Std" panose="05020102010706070708" pitchFamily="82" charset="0"/>
                <a:cs typeface="Arial" panose="020B0604020202020204" pitchFamily="34" charset="0"/>
              </a:endParaRPr>
            </a:p>
          </xdr:txBody>
        </xdr:sp>
      </mc:Fallback>
    </mc:AlternateContent>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6" name="Picture 45" descr="C:\Dropbox\Sigma\07. Images\Logos\Commercial grey.png">
          <a:hlinkClick xmlns:r="http://schemas.openxmlformats.org/officeDocument/2006/relationships" r:id="rId1"/>
          <a:extLst>
            <a:ext uri="{FF2B5EF4-FFF2-40B4-BE49-F238E27FC236}">
              <a16:creationId xmlns:a16="http://schemas.microsoft.com/office/drawing/2014/main" id="{00000000-0008-0000-0E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285750</xdr:colOff>
      <xdr:row>17</xdr:row>
      <xdr:rowOff>215900</xdr:rowOff>
    </xdr:from>
    <xdr:to>
      <xdr:col>5</xdr:col>
      <xdr:colOff>400050</xdr:colOff>
      <xdr:row>21</xdr:row>
      <xdr:rowOff>57150</xdr:rowOff>
    </xdr:to>
    <xdr:sp macro="" textlink="">
      <xdr:nvSpPr>
        <xdr:cNvPr id="47" name="Right Bracket 46">
          <a:extLst>
            <a:ext uri="{FF2B5EF4-FFF2-40B4-BE49-F238E27FC236}">
              <a16:creationId xmlns:a16="http://schemas.microsoft.com/office/drawing/2014/main" id="{00000000-0008-0000-0E00-00002F000000}"/>
            </a:ext>
          </a:extLst>
        </xdr:cNvPr>
        <xdr:cNvSpPr/>
      </xdr:nvSpPr>
      <xdr:spPr>
        <a:xfrm>
          <a:off x="3511550" y="5187950"/>
          <a:ext cx="114300" cy="984250"/>
        </a:xfrm>
        <a:prstGeom prst="rightBracket">
          <a:avLst/>
        </a:prstGeom>
        <a:ln w="15875"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5</xdr:col>
      <xdr:colOff>400050</xdr:colOff>
      <xdr:row>19</xdr:row>
      <xdr:rowOff>136525</xdr:rowOff>
    </xdr:from>
    <xdr:to>
      <xdr:col>7</xdr:col>
      <xdr:colOff>152400</xdr:colOff>
      <xdr:row>19</xdr:row>
      <xdr:rowOff>136525</xdr:rowOff>
    </xdr:to>
    <xdr:cxnSp macro="">
      <xdr:nvCxnSpPr>
        <xdr:cNvPr id="48" name="Straight Arrow Connector 47">
          <a:extLst>
            <a:ext uri="{FF2B5EF4-FFF2-40B4-BE49-F238E27FC236}">
              <a16:creationId xmlns:a16="http://schemas.microsoft.com/office/drawing/2014/main" id="{00000000-0008-0000-0E00-000030000000}"/>
            </a:ext>
          </a:extLst>
        </xdr:cNvPr>
        <xdr:cNvCxnSpPr>
          <a:stCxn id="47" idx="2"/>
          <a:endCxn id="49" idx="2"/>
        </xdr:cNvCxnSpPr>
      </xdr:nvCxnSpPr>
      <xdr:spPr>
        <a:xfrm>
          <a:off x="3625850" y="5680075"/>
          <a:ext cx="971550" cy="0"/>
        </a:xfrm>
        <a:prstGeom prst="straightConnector1">
          <a:avLst/>
        </a:prstGeom>
        <a:ln w="15875" cap="rnd">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17</xdr:row>
      <xdr:rowOff>215900</xdr:rowOff>
    </xdr:from>
    <xdr:to>
      <xdr:col>7</xdr:col>
      <xdr:colOff>266700</xdr:colOff>
      <xdr:row>21</xdr:row>
      <xdr:rowOff>57150</xdr:rowOff>
    </xdr:to>
    <xdr:sp macro="" textlink="">
      <xdr:nvSpPr>
        <xdr:cNvPr id="49" name="Right Bracket 48">
          <a:extLst>
            <a:ext uri="{FF2B5EF4-FFF2-40B4-BE49-F238E27FC236}">
              <a16:creationId xmlns:a16="http://schemas.microsoft.com/office/drawing/2014/main" id="{00000000-0008-0000-0E00-000031000000}"/>
            </a:ext>
          </a:extLst>
        </xdr:cNvPr>
        <xdr:cNvSpPr/>
      </xdr:nvSpPr>
      <xdr:spPr>
        <a:xfrm rot="10800000">
          <a:off x="4597400" y="5187950"/>
          <a:ext cx="114300" cy="984250"/>
        </a:xfrm>
        <a:prstGeom prst="rightBracket">
          <a:avLst/>
        </a:prstGeom>
        <a:ln w="15875"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F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25400</xdr:colOff>
      <xdr:row>15</xdr:row>
      <xdr:rowOff>38100</xdr:rowOff>
    </xdr:from>
    <xdr:to>
      <xdr:col>11</xdr:col>
      <xdr:colOff>387350</xdr:colOff>
      <xdr:row>19</xdr:row>
      <xdr:rowOff>38100</xdr:rowOff>
    </xdr:to>
    <xdr:pic>
      <xdr:nvPicPr>
        <xdr:cNvPr id="46" name="Picture 45" descr="http://www.heardutchhere.net/artwork/FahrenheitCelsius2.jpg">
          <a:extLst>
            <a:ext uri="{FF2B5EF4-FFF2-40B4-BE49-F238E27FC236}">
              <a16:creationId xmlns:a16="http://schemas.microsoft.com/office/drawing/2014/main" id="{00000000-0008-0000-0F00-00002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60800" y="4438650"/>
          <a:ext cx="422275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4" name="Picture 43" descr="C:\Dropbox\Sigma\07. Images\Logos\Commercial grey.png">
          <a:hlinkClick xmlns:r="http://schemas.openxmlformats.org/officeDocument/2006/relationships" r:id="rId1"/>
          <a:extLst>
            <a:ext uri="{FF2B5EF4-FFF2-40B4-BE49-F238E27FC236}">
              <a16:creationId xmlns:a16="http://schemas.microsoft.com/office/drawing/2014/main" id="{00000000-0008-0000-10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7" name="Picture 46" descr="C:\Dropbox\Sigma\07. Images\Logos\Commercial grey.png">
          <a:hlinkClick xmlns:r="http://schemas.openxmlformats.org/officeDocument/2006/relationships" r:id="rId1"/>
          <a:extLst>
            <a:ext uri="{FF2B5EF4-FFF2-40B4-BE49-F238E27FC236}">
              <a16:creationId xmlns:a16="http://schemas.microsoft.com/office/drawing/2014/main" id="{00000000-0008-0000-1100-00002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342900</xdr:colOff>
      <xdr:row>4</xdr:row>
      <xdr:rowOff>228600</xdr:rowOff>
    </xdr:from>
    <xdr:to>
      <xdr:col>5</xdr:col>
      <xdr:colOff>457200</xdr:colOff>
      <xdr:row>8</xdr:row>
      <xdr:rowOff>69850</xdr:rowOff>
    </xdr:to>
    <xdr:sp macro="" textlink="">
      <xdr:nvSpPr>
        <xdr:cNvPr id="48" name="Right Bracket 47">
          <a:extLst>
            <a:ext uri="{FF2B5EF4-FFF2-40B4-BE49-F238E27FC236}">
              <a16:creationId xmlns:a16="http://schemas.microsoft.com/office/drawing/2014/main" id="{00000000-0008-0000-1100-000030000000}"/>
            </a:ext>
          </a:extLst>
        </xdr:cNvPr>
        <xdr:cNvSpPr/>
      </xdr:nvSpPr>
      <xdr:spPr>
        <a:xfrm>
          <a:off x="3568700" y="1485900"/>
          <a:ext cx="114300" cy="984250"/>
        </a:xfrm>
        <a:prstGeom prst="rightBracket">
          <a:avLst/>
        </a:prstGeom>
        <a:ln w="15875"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5</xdr:col>
      <xdr:colOff>457200</xdr:colOff>
      <xdr:row>6</xdr:row>
      <xdr:rowOff>146050</xdr:rowOff>
    </xdr:from>
    <xdr:to>
      <xdr:col>7</xdr:col>
      <xdr:colOff>12700</xdr:colOff>
      <xdr:row>6</xdr:row>
      <xdr:rowOff>149225</xdr:rowOff>
    </xdr:to>
    <xdr:cxnSp macro="">
      <xdr:nvCxnSpPr>
        <xdr:cNvPr id="50" name="Straight Arrow Connector 49">
          <a:extLst>
            <a:ext uri="{FF2B5EF4-FFF2-40B4-BE49-F238E27FC236}">
              <a16:creationId xmlns:a16="http://schemas.microsoft.com/office/drawing/2014/main" id="{00000000-0008-0000-1100-000032000000}"/>
            </a:ext>
          </a:extLst>
        </xdr:cNvPr>
        <xdr:cNvCxnSpPr>
          <a:stCxn id="48" idx="2"/>
        </xdr:cNvCxnSpPr>
      </xdr:nvCxnSpPr>
      <xdr:spPr>
        <a:xfrm flipV="1">
          <a:off x="3683000" y="1974850"/>
          <a:ext cx="774700" cy="3175"/>
        </a:xfrm>
        <a:prstGeom prst="straightConnector1">
          <a:avLst/>
        </a:prstGeom>
        <a:ln w="15875" cap="rnd">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12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6" name="Picture 45" descr="C:\Dropbox\Sigma\07. Images\Logos\Commercial grey.png">
          <a:hlinkClick xmlns:r="http://schemas.openxmlformats.org/officeDocument/2006/relationships" r:id="rId1"/>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13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14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203200</xdr:colOff>
      <xdr:row>82</xdr:row>
      <xdr:rowOff>114300</xdr:rowOff>
    </xdr:from>
    <xdr:to>
      <xdr:col>3</xdr:col>
      <xdr:colOff>558800</xdr:colOff>
      <xdr:row>85</xdr:row>
      <xdr:rowOff>76200</xdr:rowOff>
    </xdr:to>
    <xdr:sp macro="" textlink="">
      <xdr:nvSpPr>
        <xdr:cNvPr id="4" name="Line 6">
          <a:extLst>
            <a:ext uri="{FF2B5EF4-FFF2-40B4-BE49-F238E27FC236}">
              <a16:creationId xmlns:a16="http://schemas.microsoft.com/office/drawing/2014/main" id="{00000000-0008-0000-1500-000004000000}"/>
            </a:ext>
          </a:extLst>
        </xdr:cNvPr>
        <xdr:cNvSpPr>
          <a:spLocks noChangeShapeType="1"/>
        </xdr:cNvSpPr>
      </xdr:nvSpPr>
      <xdr:spPr bwMode="auto">
        <a:xfrm>
          <a:off x="1162050" y="7416800"/>
          <a:ext cx="35560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323850</xdr:colOff>
      <xdr:row>1</xdr:row>
      <xdr:rowOff>0</xdr:rowOff>
    </xdr:from>
    <xdr:to>
      <xdr:col>1</xdr:col>
      <xdr:colOff>1066800</xdr:colOff>
      <xdr:row>1</xdr:row>
      <xdr:rowOff>742950</xdr:rowOff>
    </xdr:to>
    <xdr:pic>
      <xdr:nvPicPr>
        <xdr:cNvPr id="6" name="Picture 5" descr="C:\Dropbox\Sigma\07. Images\Logos\Commercial grey.png">
          <a:hlinkClick xmlns:r="http://schemas.openxmlformats.org/officeDocument/2006/relationships" r:id="rId1"/>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2" name="Picture 1" descr="C:\Dropbox\Sigma\07. Images\Logos\Commercial grey.png">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4" name="Picture 43" descr="C:\Dropbox\Sigma\07. Images\Logos\Commercial grey.png">
          <a:hlinkClick xmlns:r="http://schemas.openxmlformats.org/officeDocument/2006/relationships" r:id="rId1"/>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5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52" name="Picture 51" descr="C:\Dropbox\Sigma\07. Images\Logos\Commercial grey.png">
          <a:hlinkClick xmlns:r="http://schemas.openxmlformats.org/officeDocument/2006/relationships" r:id="rId1"/>
          <a:extLst>
            <a:ext uri="{FF2B5EF4-FFF2-40B4-BE49-F238E27FC236}">
              <a16:creationId xmlns:a16="http://schemas.microsoft.com/office/drawing/2014/main" id="{00000000-0008-0000-06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7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1</xdr:row>
      <xdr:rowOff>0</xdr:rowOff>
    </xdr:from>
    <xdr:to>
      <xdr:col>1</xdr:col>
      <xdr:colOff>1066800</xdr:colOff>
      <xdr:row>1</xdr:row>
      <xdr:rowOff>742950</xdr:rowOff>
    </xdr:to>
    <xdr:pic>
      <xdr:nvPicPr>
        <xdr:cNvPr id="43" name="Picture 42" descr="C:\Dropbox\Sigma\07. Images\Logos\Commercial grey.png">
          <a:hlinkClick xmlns:r="http://schemas.openxmlformats.org/officeDocument/2006/relationships" r:id="rId1"/>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100" y="101600"/>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igma2c.com/08Density.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gma2c.com/08Density.htm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1"/>
  <sheetViews>
    <sheetView showGridLines="0" tabSelected="1" zoomScaleNormal="100" workbookViewId="0">
      <selection activeCell="B25" sqref="B25"/>
    </sheetView>
  </sheetViews>
  <sheetFormatPr defaultRowHeight="14.4"/>
  <cols>
    <col min="1" max="1" width="3.21875" customWidth="1"/>
    <col min="2" max="2" width="20"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786</v>
      </c>
      <c r="E2" s="3"/>
    </row>
    <row r="3" spans="2:15" ht="7.95" customHeight="1">
      <c r="H3" s="1"/>
      <c r="I3" s="1"/>
      <c r="J3" s="1"/>
      <c r="K3" s="1"/>
      <c r="L3" s="1"/>
      <c r="M3" s="1"/>
      <c r="N3" s="1"/>
      <c r="O3" s="2"/>
    </row>
    <row r="4" spans="2:15" ht="22.5" customHeight="1">
      <c r="B4" s="270" t="s">
        <v>763</v>
      </c>
      <c r="D4" s="218" t="s">
        <v>641</v>
      </c>
      <c r="H4" s="1"/>
      <c r="I4" s="1"/>
      <c r="J4" s="1"/>
      <c r="K4" s="1"/>
      <c r="L4" s="1"/>
      <c r="M4" s="1"/>
      <c r="N4" s="1"/>
      <c r="O4" s="2"/>
    </row>
    <row r="5" spans="2:15" ht="22.5" customHeight="1" thickBot="1">
      <c r="B5" s="271" t="s">
        <v>764</v>
      </c>
      <c r="E5" s="218" t="s">
        <v>642</v>
      </c>
      <c r="G5" s="47"/>
      <c r="H5" s="1"/>
      <c r="I5" s="1"/>
      <c r="J5" s="1"/>
      <c r="K5" s="1"/>
      <c r="L5" s="1"/>
      <c r="M5" s="1"/>
      <c r="N5" s="1"/>
      <c r="O5" s="2"/>
    </row>
    <row r="6" spans="2:15" ht="22.5" customHeight="1" thickBot="1">
      <c r="B6" s="270" t="s">
        <v>765</v>
      </c>
      <c r="D6" s="169">
        <v>1</v>
      </c>
      <c r="E6" s="168" t="s">
        <v>57</v>
      </c>
      <c r="G6" s="18"/>
      <c r="H6" s="19" t="s">
        <v>53</v>
      </c>
      <c r="I6" s="20" t="s">
        <v>55</v>
      </c>
      <c r="J6" s="20" t="s">
        <v>57</v>
      </c>
      <c r="K6" s="21" t="s">
        <v>58</v>
      </c>
    </row>
    <row r="7" spans="2:15" ht="22.5" customHeight="1">
      <c r="B7" s="271" t="s">
        <v>766</v>
      </c>
      <c r="D7" s="48">
        <f>D6*H51</f>
        <v>25.4</v>
      </c>
      <c r="E7" s="48" t="s">
        <v>53</v>
      </c>
      <c r="G7" s="220" t="s">
        <v>53</v>
      </c>
      <c r="H7" s="30">
        <v>1</v>
      </c>
      <c r="I7" s="31">
        <v>0.1</v>
      </c>
      <c r="J7" s="31">
        <v>3.9370099999999998E-2</v>
      </c>
      <c r="K7" s="32" t="s">
        <v>59</v>
      </c>
    </row>
    <row r="8" spans="2:15" ht="22.5" customHeight="1">
      <c r="B8" s="270" t="s">
        <v>767</v>
      </c>
      <c r="D8" s="48">
        <f>D6*I51</f>
        <v>2.54</v>
      </c>
      <c r="E8" s="48" t="s">
        <v>55</v>
      </c>
      <c r="G8" s="220" t="s">
        <v>55</v>
      </c>
      <c r="H8" s="189">
        <v>10</v>
      </c>
      <c r="I8" s="191">
        <v>1</v>
      </c>
      <c r="J8" s="192">
        <v>0.39370100000000002</v>
      </c>
      <c r="K8" s="193">
        <v>3.2807999999999997E-2</v>
      </c>
    </row>
    <row r="9" spans="2:15" ht="22.5" customHeight="1">
      <c r="B9" s="271" t="s">
        <v>768</v>
      </c>
      <c r="D9" s="48">
        <f>D6*J51</f>
        <v>1</v>
      </c>
      <c r="E9" s="48" t="s">
        <v>57</v>
      </c>
      <c r="G9" s="220" t="s">
        <v>57</v>
      </c>
      <c r="H9" s="34">
        <v>25.4</v>
      </c>
      <c r="I9" s="9">
        <v>2.54</v>
      </c>
      <c r="J9" s="4">
        <v>1</v>
      </c>
      <c r="K9" s="23">
        <v>8.3330000000000001E-2</v>
      </c>
    </row>
    <row r="10" spans="2:15" ht="22.5" customHeight="1" thickBot="1">
      <c r="B10" s="270" t="s">
        <v>769</v>
      </c>
      <c r="D10" s="48">
        <f>D6*K51</f>
        <v>8.3330000000000001E-2</v>
      </c>
      <c r="E10" s="48" t="s">
        <v>58</v>
      </c>
      <c r="G10" s="221" t="s">
        <v>58</v>
      </c>
      <c r="H10" s="164">
        <v>304.8</v>
      </c>
      <c r="I10" s="197">
        <v>30.48</v>
      </c>
      <c r="J10" s="197">
        <v>12</v>
      </c>
      <c r="K10" s="219">
        <v>1</v>
      </c>
    </row>
    <row r="11" spans="2:15" ht="22.5" customHeight="1">
      <c r="B11" s="271" t="s">
        <v>770</v>
      </c>
      <c r="D11" s="48"/>
      <c r="E11" s="48"/>
    </row>
    <row r="12" spans="2:15" ht="22.5" customHeight="1">
      <c r="B12" s="270" t="s">
        <v>771</v>
      </c>
      <c r="E12" s="48"/>
      <c r="G12" s="218" t="s">
        <v>643</v>
      </c>
    </row>
    <row r="13" spans="2:15" ht="22.5" customHeight="1">
      <c r="B13" s="271" t="s">
        <v>772</v>
      </c>
      <c r="D13" s="218" t="s">
        <v>644</v>
      </c>
      <c r="E13" s="48"/>
      <c r="G13" s="218" t="s">
        <v>639</v>
      </c>
    </row>
    <row r="14" spans="2:15" ht="22.5" customHeight="1">
      <c r="B14" s="270" t="s">
        <v>773</v>
      </c>
      <c r="D14" s="48"/>
      <c r="E14" s="48"/>
      <c r="G14" s="218" t="s">
        <v>640</v>
      </c>
    </row>
    <row r="15" spans="2:15" ht="22.5" customHeight="1">
      <c r="B15" s="271" t="s">
        <v>774</v>
      </c>
      <c r="D15" s="48"/>
      <c r="E15" s="48"/>
      <c r="G15" s="218"/>
    </row>
    <row r="16" spans="2:15" ht="22.5" customHeight="1">
      <c r="B16" s="270" t="s">
        <v>775</v>
      </c>
      <c r="D16" s="48"/>
      <c r="E16" s="48"/>
      <c r="G16" s="46"/>
      <c r="H16" s="199"/>
    </row>
    <row r="17" spans="2:8" ht="22.5" customHeight="1">
      <c r="B17" s="271" t="s">
        <v>776</v>
      </c>
      <c r="D17" s="48"/>
      <c r="E17" s="48"/>
      <c r="G17" s="46"/>
      <c r="H17" s="199"/>
    </row>
    <row r="18" spans="2:8" ht="22.5" customHeight="1">
      <c r="B18" s="270" t="s">
        <v>777</v>
      </c>
      <c r="G18" s="46"/>
      <c r="H18" s="199"/>
    </row>
    <row r="19" spans="2:8" ht="22.5" customHeight="1">
      <c r="B19" s="271" t="s">
        <v>778</v>
      </c>
    </row>
    <row r="20" spans="2:8" ht="22.5" customHeight="1">
      <c r="B20" s="270" t="s">
        <v>779</v>
      </c>
    </row>
    <row r="21" spans="2:8" ht="22.5" customHeight="1">
      <c r="B21" s="271" t="s">
        <v>780</v>
      </c>
    </row>
    <row r="22" spans="2:8" ht="22.5" customHeight="1">
      <c r="B22" s="270" t="s">
        <v>781</v>
      </c>
    </row>
    <row r="23" spans="2:8" ht="22.5" customHeight="1">
      <c r="B23" s="271" t="s">
        <v>782</v>
      </c>
    </row>
    <row r="24" spans="2:8" ht="22.5" customHeight="1">
      <c r="B24" s="270" t="s">
        <v>783</v>
      </c>
    </row>
    <row r="25" spans="2:8" ht="22.5" customHeight="1">
      <c r="B25" s="271" t="s">
        <v>784</v>
      </c>
    </row>
    <row r="26" spans="2:8" ht="22.5" customHeight="1"/>
    <row r="27" spans="2:8" ht="22.5" customHeight="1"/>
    <row r="50" spans="8:11">
      <c r="H50" s="40">
        <v>2</v>
      </c>
      <c r="I50" s="41">
        <v>3</v>
      </c>
      <c r="J50" s="41">
        <v>4</v>
      </c>
      <c r="K50" s="42">
        <v>5</v>
      </c>
    </row>
    <row r="51" spans="8:11" ht="15" thickBot="1">
      <c r="H51" s="43">
        <f t="shared" ref="H51:K51" si="0">VLOOKUP($E$6,$G$7:$O$14,H50,FALSE)</f>
        <v>25.4</v>
      </c>
      <c r="I51" s="44">
        <f t="shared" si="0"/>
        <v>2.54</v>
      </c>
      <c r="J51" s="44">
        <f t="shared" si="0"/>
        <v>1</v>
      </c>
      <c r="K51" s="45">
        <f t="shared" si="0"/>
        <v>8.3330000000000001E-2</v>
      </c>
    </row>
  </sheetData>
  <dataValidations count="1">
    <dataValidation type="list" allowBlank="1" showInputMessage="1" showErrorMessage="1" sqref="E6" xr:uid="{00000000-0002-0000-0000-000000000000}">
      <formula1>$E$7:$E$14</formula1>
    </dataValidation>
  </dataValidations>
  <hyperlinks>
    <hyperlink ref="B4" location="'01'!A1" display="01 Length" xr:uid="{00000000-0004-0000-0000-000000000000}"/>
    <hyperlink ref="B5" location="'02'!A1" display="02 Area (small)" xr:uid="{00000000-0004-0000-0000-000001000000}"/>
    <hyperlink ref="B6" location="'03'!A1" display="03 Area (large)" xr:uid="{00000000-0004-0000-0000-000002000000}"/>
    <hyperlink ref="B7" location="'04'!A1" display="04 Volume" xr:uid="{00000000-0004-0000-0000-000003000000}"/>
    <hyperlink ref="B8" location="'05'!A1" display="05 Velocity" xr:uid="{00000000-0004-0000-0000-000004000000}"/>
    <hyperlink ref="B9" location="'06'!A1" display="06 Volume flow" xr:uid="{00000000-0004-0000-0000-000005000000}"/>
    <hyperlink ref="B10" location="'07'!A1" display="07 Mass" xr:uid="{00000000-0004-0000-0000-000006000000}"/>
    <hyperlink ref="B11" location="'08'!A1" display="08 Density" xr:uid="{00000000-0004-0000-0000-000007000000}"/>
    <hyperlink ref="B12" location="'09'!A1" display="09 Mass flow" xr:uid="{00000000-0004-0000-0000-000008000000}"/>
    <hyperlink ref="B13" location="'10'!A1" display="10 Force" xr:uid="{00000000-0004-0000-0000-000009000000}"/>
    <hyperlink ref="B14" location="'11'!A1" display="11 Pressure" xr:uid="{00000000-0004-0000-0000-00000A000000}"/>
    <hyperlink ref="B15" location="'12'!A1" display="12 Energy" xr:uid="{00000000-0004-0000-0000-00000B000000}"/>
    <hyperlink ref="B16" location="'13'!A1" display="13 Calorific value" xr:uid="{00000000-0004-0000-0000-00000C000000}"/>
    <hyperlink ref="B17" location="'14'!A1" display="14 Gas price" xr:uid="{00000000-0004-0000-0000-00000D000000}"/>
    <hyperlink ref="B18" location="'15'!A1" display="15 Temperature" xr:uid="{00000000-0004-0000-0000-00000E000000}"/>
    <hyperlink ref="B19" location="'16'!A1" display="16 API gravity" xr:uid="{00000000-0004-0000-0000-00000F000000}"/>
    <hyperlink ref="B20" location="'17'!A1" display="17 BOE" xr:uid="{00000000-0004-0000-0000-000010000000}"/>
    <hyperlink ref="B21" location="'18'!A1" display="18 LNG" xr:uid="{00000000-0004-0000-0000-000011000000}"/>
    <hyperlink ref="B22" location="'19'!A1" display="19 Emissions" xr:uid="{00000000-0004-0000-0000-000012000000}"/>
    <hyperlink ref="B23" location="'20'!A1" display="20 SI prefixes" xr:uid="{00000000-0004-0000-0000-000013000000}"/>
    <hyperlink ref="B24" location="'21'!A1" display="21 ISO 6974" xr:uid="{00000000-0004-0000-0000-000014000000}"/>
    <hyperlink ref="B25" location="'22'!A1" display="22 SRK equation" xr:uid="{00000000-0004-0000-0000-000015000000}"/>
  </hyperlink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51"/>
  <sheetViews>
    <sheetView showGridLines="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771</v>
      </c>
      <c r="E2" s="3"/>
    </row>
    <row r="3" spans="2:15" ht="7.95" customHeight="1">
      <c r="H3" s="1"/>
      <c r="I3" s="1"/>
      <c r="J3" s="1"/>
      <c r="K3" s="1"/>
      <c r="L3" s="1"/>
      <c r="M3" s="1"/>
      <c r="N3" s="1"/>
      <c r="O3" s="2"/>
    </row>
    <row r="4" spans="2:15" ht="22.5" customHeight="1">
      <c r="B4" s="270" t="s">
        <v>763</v>
      </c>
      <c r="H4" s="1"/>
      <c r="I4" s="1"/>
      <c r="J4" s="1"/>
      <c r="K4" s="1"/>
      <c r="L4" s="1"/>
      <c r="M4" s="1"/>
      <c r="N4" s="1"/>
      <c r="O4" s="2"/>
    </row>
    <row r="5" spans="2:15" ht="22.5" customHeight="1" thickBot="1">
      <c r="B5" s="271" t="s">
        <v>764</v>
      </c>
      <c r="H5" s="1"/>
      <c r="I5" s="1"/>
      <c r="J5" s="1"/>
      <c r="K5" s="1"/>
      <c r="L5" s="1"/>
      <c r="M5" s="1"/>
      <c r="N5" s="1"/>
      <c r="O5" s="2"/>
    </row>
    <row r="6" spans="2:15" ht="22.5" customHeight="1" thickBot="1">
      <c r="B6" s="270" t="s">
        <v>765</v>
      </c>
      <c r="D6" s="169">
        <v>1</v>
      </c>
      <c r="E6" s="168" t="s">
        <v>392</v>
      </c>
      <c r="G6" s="18"/>
      <c r="H6" s="19" t="s">
        <v>392</v>
      </c>
      <c r="I6" s="20" t="s">
        <v>393</v>
      </c>
      <c r="J6" s="20" t="s">
        <v>394</v>
      </c>
      <c r="K6" s="20" t="s">
        <v>395</v>
      </c>
      <c r="L6" s="20" t="s">
        <v>396</v>
      </c>
      <c r="M6" s="20" t="s">
        <v>397</v>
      </c>
      <c r="N6" s="20" t="s">
        <v>398</v>
      </c>
      <c r="O6" s="21" t="s">
        <v>399</v>
      </c>
    </row>
    <row r="7" spans="2:15" ht="22.5" customHeight="1">
      <c r="B7" s="271" t="s">
        <v>766</v>
      </c>
      <c r="D7" s="48">
        <f>D6*H51</f>
        <v>1</v>
      </c>
      <c r="E7" s="48" t="s">
        <v>392</v>
      </c>
      <c r="G7" s="22" t="s">
        <v>392</v>
      </c>
      <c r="H7" s="30">
        <v>1</v>
      </c>
      <c r="I7" s="31">
        <v>0.4536</v>
      </c>
      <c r="J7" s="31">
        <v>0.126</v>
      </c>
      <c r="K7" s="31">
        <v>1.6670000000000001E-2</v>
      </c>
      <c r="L7" s="31">
        <v>1.089E-2</v>
      </c>
      <c r="M7" s="31">
        <v>1.0710000000000001E-2</v>
      </c>
      <c r="N7" s="31" t="s">
        <v>400</v>
      </c>
      <c r="O7" s="32" t="s">
        <v>15</v>
      </c>
    </row>
    <row r="8" spans="2:15" ht="22.5" customHeight="1">
      <c r="B8" s="270" t="s">
        <v>767</v>
      </c>
      <c r="D8" s="48">
        <f>D6*I51</f>
        <v>0.4536</v>
      </c>
      <c r="E8" s="48" t="s">
        <v>393</v>
      </c>
      <c r="G8" s="22" t="s">
        <v>393</v>
      </c>
      <c r="H8" s="33">
        <v>2.2050000000000001</v>
      </c>
      <c r="I8" s="7">
        <v>1</v>
      </c>
      <c r="J8" s="8">
        <v>0.27779999999999999</v>
      </c>
      <c r="K8" s="8">
        <v>3.6740000000000002E-2</v>
      </c>
      <c r="L8" s="8">
        <v>2.4E-2</v>
      </c>
      <c r="M8" s="8">
        <v>2.3619999999999999E-2</v>
      </c>
      <c r="N8" s="8" t="s">
        <v>13</v>
      </c>
      <c r="O8" s="24" t="s">
        <v>401</v>
      </c>
    </row>
    <row r="9" spans="2:15" ht="22.5" customHeight="1">
      <c r="B9" s="271" t="s">
        <v>768</v>
      </c>
      <c r="D9" s="48">
        <f>D6*J51</f>
        <v>0.126</v>
      </c>
      <c r="E9" s="48" t="s">
        <v>394</v>
      </c>
      <c r="G9" s="22" t="s">
        <v>394</v>
      </c>
      <c r="H9" s="34">
        <v>7.9370000000000003</v>
      </c>
      <c r="I9" s="9">
        <v>3.6</v>
      </c>
      <c r="J9" s="4">
        <v>1</v>
      </c>
      <c r="K9" s="5">
        <v>0.1323</v>
      </c>
      <c r="L9" s="5">
        <v>8.6400000000000005E-2</v>
      </c>
      <c r="M9" s="5">
        <v>8.5029999999999994E-2</v>
      </c>
      <c r="N9" s="5" t="s">
        <v>21</v>
      </c>
      <c r="O9" s="23" t="s">
        <v>402</v>
      </c>
    </row>
    <row r="10" spans="2:15" ht="22.5" customHeight="1">
      <c r="B10" s="270" t="s">
        <v>769</v>
      </c>
      <c r="D10" s="48">
        <f>D6*K51</f>
        <v>1.6670000000000001E-2</v>
      </c>
      <c r="E10" s="48" t="s">
        <v>395</v>
      </c>
      <c r="G10" s="22" t="s">
        <v>395</v>
      </c>
      <c r="H10" s="35">
        <v>60</v>
      </c>
      <c r="I10" s="6">
        <v>27.216000000000001</v>
      </c>
      <c r="J10" s="6">
        <v>7.56</v>
      </c>
      <c r="K10" s="7">
        <v>1</v>
      </c>
      <c r="L10" s="6">
        <v>0.65300000000000002</v>
      </c>
      <c r="M10" s="8">
        <v>0.64300000000000002</v>
      </c>
      <c r="N10" s="6" t="s">
        <v>403</v>
      </c>
      <c r="O10" s="49" t="s">
        <v>404</v>
      </c>
    </row>
    <row r="11" spans="2:15" ht="22.5" customHeight="1">
      <c r="B11" s="271" t="s">
        <v>770</v>
      </c>
      <c r="D11" s="48">
        <f>D6*L51</f>
        <v>1.089E-2</v>
      </c>
      <c r="E11" s="48" t="s">
        <v>396</v>
      </c>
      <c r="G11" s="22" t="s">
        <v>396</v>
      </c>
      <c r="H11" s="36">
        <v>91.86</v>
      </c>
      <c r="I11" s="9">
        <v>41.67</v>
      </c>
      <c r="J11" s="5">
        <v>11.57</v>
      </c>
      <c r="K11" s="9">
        <v>1.5309999999999999</v>
      </c>
      <c r="L11" s="4">
        <v>1</v>
      </c>
      <c r="M11" s="5">
        <v>0.98419999999999996</v>
      </c>
      <c r="N11" s="5">
        <v>4.1669999999999999E-2</v>
      </c>
      <c r="O11" s="50">
        <v>2.5510000000000001E-2</v>
      </c>
    </row>
    <row r="12" spans="2:15" ht="22.5" customHeight="1">
      <c r="B12" s="270" t="s">
        <v>771</v>
      </c>
      <c r="D12" s="48">
        <f>D6*M51</f>
        <v>1.0710000000000001E-2</v>
      </c>
      <c r="E12" s="48" t="s">
        <v>397</v>
      </c>
      <c r="G12" s="22" t="s">
        <v>397</v>
      </c>
      <c r="H12" s="35">
        <v>93.33</v>
      </c>
      <c r="I12" s="6">
        <v>42.34</v>
      </c>
      <c r="J12" s="10">
        <v>11.76</v>
      </c>
      <c r="K12" s="6">
        <v>1.556</v>
      </c>
      <c r="L12" s="6">
        <v>1.016</v>
      </c>
      <c r="M12" s="11">
        <v>1</v>
      </c>
      <c r="N12" s="6">
        <v>4.233E-2</v>
      </c>
      <c r="O12" s="49">
        <v>2.5930000000000002E-2</v>
      </c>
    </row>
    <row r="13" spans="2:15" ht="22.5" customHeight="1">
      <c r="B13" s="271" t="s">
        <v>772</v>
      </c>
      <c r="D13" s="48">
        <f>D6*N51</f>
        <v>4.5360000000000002E-4</v>
      </c>
      <c r="E13" s="48" t="s">
        <v>398</v>
      </c>
      <c r="G13" s="22" t="s">
        <v>398</v>
      </c>
      <c r="H13" s="37">
        <v>2205</v>
      </c>
      <c r="I13" s="12">
        <v>1000</v>
      </c>
      <c r="J13" s="12">
        <v>277.8</v>
      </c>
      <c r="K13" s="13">
        <v>36.74</v>
      </c>
      <c r="L13" s="13">
        <v>24</v>
      </c>
      <c r="M13" s="13">
        <v>23.62</v>
      </c>
      <c r="N13" s="14">
        <v>1</v>
      </c>
      <c r="O13" s="51">
        <v>0.61240000000000006</v>
      </c>
    </row>
    <row r="14" spans="2:15" ht="22.5" customHeight="1" thickBot="1">
      <c r="B14" s="270" t="s">
        <v>773</v>
      </c>
      <c r="D14" s="48">
        <f>D6*O51</f>
        <v>2.7779999999999998E-4</v>
      </c>
      <c r="E14" s="48" t="s">
        <v>399</v>
      </c>
      <c r="G14" s="27" t="s">
        <v>399</v>
      </c>
      <c r="H14" s="52">
        <v>3600</v>
      </c>
      <c r="I14" s="53">
        <v>1633</v>
      </c>
      <c r="J14" s="54">
        <v>453.6</v>
      </c>
      <c r="K14" s="54">
        <v>60</v>
      </c>
      <c r="L14" s="54">
        <v>39.19</v>
      </c>
      <c r="M14" s="54">
        <v>38.57</v>
      </c>
      <c r="N14" s="54">
        <v>1.633</v>
      </c>
      <c r="O14" s="55">
        <v>1</v>
      </c>
    </row>
    <row r="15" spans="2:15" ht="22.5" customHeight="1">
      <c r="B15" s="271" t="s">
        <v>774</v>
      </c>
      <c r="D15" s="48"/>
      <c r="E15" s="48"/>
      <c r="G15" s="46"/>
    </row>
    <row r="16" spans="2:15" ht="22.5" customHeight="1">
      <c r="B16" s="270" t="s">
        <v>775</v>
      </c>
      <c r="D16" s="48"/>
      <c r="E16" s="48"/>
      <c r="G16" s="46"/>
      <c r="O16" s="58"/>
    </row>
    <row r="17" spans="2:15" ht="22.5" customHeight="1">
      <c r="B17" s="271" t="s">
        <v>776</v>
      </c>
      <c r="D17" s="48"/>
      <c r="E17" s="48"/>
      <c r="G17" s="46"/>
      <c r="I17" s="46"/>
      <c r="O17" s="58"/>
    </row>
    <row r="18" spans="2:15" ht="22.5" customHeight="1">
      <c r="B18" s="270" t="s">
        <v>777</v>
      </c>
      <c r="G18" s="46"/>
      <c r="I18" s="46"/>
    </row>
    <row r="19" spans="2:15" ht="22.5" customHeight="1">
      <c r="B19" s="271" t="s">
        <v>778</v>
      </c>
      <c r="G19" s="46"/>
    </row>
    <row r="20" spans="2:15" ht="22.5" customHeight="1">
      <c r="B20" s="270" t="s">
        <v>779</v>
      </c>
    </row>
    <row r="21" spans="2:15" ht="22.5" customHeight="1">
      <c r="B21" s="271" t="s">
        <v>780</v>
      </c>
    </row>
    <row r="22" spans="2:15" ht="22.5" customHeight="1">
      <c r="B22" s="270" t="s">
        <v>781</v>
      </c>
    </row>
    <row r="23" spans="2:15" ht="22.5" customHeight="1">
      <c r="B23" s="271" t="s">
        <v>782</v>
      </c>
    </row>
    <row r="24" spans="2:15" ht="22.5" customHeight="1">
      <c r="B24" s="270" t="s">
        <v>783</v>
      </c>
    </row>
    <row r="25" spans="2:15" ht="22.5" customHeight="1">
      <c r="B25" s="271" t="s">
        <v>784</v>
      </c>
    </row>
    <row r="26" spans="2:15" ht="22.5" customHeight="1"/>
    <row r="27" spans="2:15" ht="22.5" customHeight="1"/>
    <row r="50" spans="8:15" hidden="1">
      <c r="H50" s="40">
        <v>2</v>
      </c>
      <c r="I50" s="41">
        <v>3</v>
      </c>
      <c r="J50" s="41">
        <v>4</v>
      </c>
      <c r="K50" s="41">
        <v>5</v>
      </c>
      <c r="L50" s="41">
        <v>6</v>
      </c>
      <c r="M50" s="41">
        <v>7</v>
      </c>
      <c r="N50" s="41">
        <v>8</v>
      </c>
      <c r="O50" s="41">
        <v>9</v>
      </c>
    </row>
    <row r="51" spans="8:15" ht="15" hidden="1" thickBot="1">
      <c r="H51" s="43">
        <f t="shared" ref="H51:O51" si="0">VLOOKUP($E$6,$G$7:$O$14,H50,FALSE)</f>
        <v>1</v>
      </c>
      <c r="I51" s="44">
        <f t="shared" si="0"/>
        <v>0.4536</v>
      </c>
      <c r="J51" s="44">
        <f t="shared" si="0"/>
        <v>0.126</v>
      </c>
      <c r="K51" s="44">
        <f t="shared" si="0"/>
        <v>1.6670000000000001E-2</v>
      </c>
      <c r="L51" s="44">
        <f t="shared" si="0"/>
        <v>1.089E-2</v>
      </c>
      <c r="M51" s="44">
        <f t="shared" si="0"/>
        <v>1.0710000000000001E-2</v>
      </c>
      <c r="N51" s="44" t="str">
        <f t="shared" si="0"/>
        <v>4.536e-4</v>
      </c>
      <c r="O51" s="44" t="str">
        <f t="shared" si="0"/>
        <v>2.778e-4</v>
      </c>
    </row>
  </sheetData>
  <dataValidations disablePrompts="1" count="1">
    <dataValidation type="list" allowBlank="1" showInputMessage="1" showErrorMessage="1" sqref="E6" xr:uid="{00000000-0002-0000-0900-000000000000}">
      <formula1>E7:E14</formula1>
    </dataValidation>
  </dataValidations>
  <hyperlinks>
    <hyperlink ref="B4" location="'01'!A1" display="01 Length" xr:uid="{00000000-0004-0000-0900-000000000000}"/>
    <hyperlink ref="B5" location="'02'!A1" display="02 Area (small)" xr:uid="{00000000-0004-0000-0900-000001000000}"/>
    <hyperlink ref="B6" location="'03'!A1" display="03 Area (large)" xr:uid="{00000000-0004-0000-0900-000002000000}"/>
    <hyperlink ref="B7" location="'04'!A1" display="04 Volume" xr:uid="{00000000-0004-0000-0900-000003000000}"/>
    <hyperlink ref="B8" location="'05'!A1" display="05 Velocity" xr:uid="{00000000-0004-0000-0900-000004000000}"/>
    <hyperlink ref="B9" location="'06'!A1" display="06 Volume flow" xr:uid="{00000000-0004-0000-0900-000005000000}"/>
    <hyperlink ref="B10" location="'07'!A1" display="07 Mass" xr:uid="{00000000-0004-0000-0900-000006000000}"/>
    <hyperlink ref="B11" location="'08'!A1" display="08 Density" xr:uid="{00000000-0004-0000-0900-000007000000}"/>
    <hyperlink ref="B12" location="'09'!A1" display="09 Mass flow" xr:uid="{00000000-0004-0000-0900-000008000000}"/>
    <hyperlink ref="B13" location="'10'!A1" display="10 Force" xr:uid="{00000000-0004-0000-0900-000009000000}"/>
    <hyperlink ref="B14" location="'11'!A1" display="11 Pressure" xr:uid="{00000000-0004-0000-0900-00000A000000}"/>
    <hyperlink ref="B15" location="'12'!A1" display="12 Energy" xr:uid="{00000000-0004-0000-0900-00000B000000}"/>
    <hyperlink ref="B16" location="'13'!A1" display="13 Calorific value" xr:uid="{00000000-0004-0000-0900-00000C000000}"/>
    <hyperlink ref="B17" location="'14'!A1" display="14 Gas price" xr:uid="{00000000-0004-0000-0900-00000D000000}"/>
    <hyperlink ref="B18" location="'15'!A1" display="15 Temperature" xr:uid="{00000000-0004-0000-0900-00000E000000}"/>
    <hyperlink ref="B19" location="'16'!A1" display="16 API gravity" xr:uid="{00000000-0004-0000-0900-00000F000000}"/>
    <hyperlink ref="B20" location="'17'!A1" display="17 BOE" xr:uid="{00000000-0004-0000-0900-000010000000}"/>
    <hyperlink ref="B21" location="'18'!A1" display="18 LNG" xr:uid="{00000000-0004-0000-0900-000011000000}"/>
    <hyperlink ref="B22" location="'19'!A1" display="19 Emissions" xr:uid="{00000000-0004-0000-0900-000012000000}"/>
    <hyperlink ref="B23" location="'20'!A1" display="20 SI prefixes" xr:uid="{00000000-0004-0000-0900-000013000000}"/>
    <hyperlink ref="B24" location="'21'!A1" display="21 ISO 6974" xr:uid="{00000000-0004-0000-0900-000014000000}"/>
    <hyperlink ref="B25" location="'22'!A1" display="22 SRK equation" xr:uid="{00000000-0004-0000-0900-000015000000}"/>
  </hyperlink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51"/>
  <sheetViews>
    <sheetView showGridLines="0" workbookViewId="0">
      <selection activeCell="D9" sqref="D9:E9"/>
    </sheetView>
  </sheetViews>
  <sheetFormatPr defaultRowHeight="14.4"/>
  <cols>
    <col min="1" max="1" width="3.21875" customWidth="1"/>
    <col min="2" max="2" width="19.88671875" customWidth="1"/>
    <col min="3" max="3" width="2.77734375" customWidth="1"/>
    <col min="4" max="4" width="11.109375" customWidth="1"/>
    <col min="5" max="5" width="9.21875" customWidth="1"/>
    <col min="8" max="13" width="11.6640625" customWidth="1"/>
  </cols>
  <sheetData>
    <row r="1" spans="2:13" ht="7.95" customHeight="1"/>
    <row r="2" spans="2:13" ht="60.45" customHeight="1">
      <c r="D2" s="56" t="s">
        <v>772</v>
      </c>
      <c r="E2" s="3"/>
    </row>
    <row r="3" spans="2:13" ht="7.95" customHeight="1">
      <c r="H3" s="1"/>
      <c r="I3" s="1"/>
      <c r="J3" s="1"/>
      <c r="K3" s="1"/>
      <c r="L3" s="1"/>
      <c r="M3" s="1"/>
    </row>
    <row r="4" spans="2:13" ht="22.5" customHeight="1">
      <c r="B4" s="270" t="s">
        <v>763</v>
      </c>
      <c r="H4" s="1"/>
      <c r="I4" s="1"/>
      <c r="J4" s="1"/>
      <c r="K4" s="1"/>
      <c r="L4" s="1"/>
      <c r="M4" s="1"/>
    </row>
    <row r="5" spans="2:13" ht="22.5" customHeight="1" thickBot="1">
      <c r="B5" s="271" t="s">
        <v>764</v>
      </c>
      <c r="H5" s="1"/>
      <c r="I5" s="1"/>
      <c r="J5" s="1"/>
      <c r="K5" s="1"/>
      <c r="L5" s="1"/>
      <c r="M5" s="1"/>
    </row>
    <row r="6" spans="2:13" ht="22.5" customHeight="1" thickBot="1">
      <c r="B6" s="270" t="s">
        <v>765</v>
      </c>
      <c r="D6" s="169">
        <v>1</v>
      </c>
      <c r="E6" s="168" t="s">
        <v>375</v>
      </c>
      <c r="G6" s="18"/>
      <c r="H6" s="19" t="s">
        <v>375</v>
      </c>
      <c r="I6" s="20" t="s">
        <v>376</v>
      </c>
      <c r="J6" s="20" t="s">
        <v>377</v>
      </c>
      <c r="K6" s="20" t="s">
        <v>378</v>
      </c>
      <c r="L6" s="20" t="s">
        <v>379</v>
      </c>
      <c r="M6" s="21" t="s">
        <v>380</v>
      </c>
    </row>
    <row r="7" spans="2:13" ht="22.5" customHeight="1">
      <c r="B7" s="271" t="s">
        <v>766</v>
      </c>
      <c r="D7" s="48">
        <f>D6*H51</f>
        <v>1</v>
      </c>
      <c r="E7" s="48" t="s">
        <v>375</v>
      </c>
      <c r="G7" s="22" t="s">
        <v>375</v>
      </c>
      <c r="H7" s="30">
        <v>1</v>
      </c>
      <c r="I7" s="31">
        <v>0.13830000000000001</v>
      </c>
      <c r="J7" s="31">
        <v>3.1099999999999999E-2</v>
      </c>
      <c r="K7" s="31">
        <v>1.41E-2</v>
      </c>
      <c r="L7" s="31" t="s">
        <v>381</v>
      </c>
      <c r="M7" s="32" t="s">
        <v>382</v>
      </c>
    </row>
    <row r="8" spans="2:13" ht="22.5" customHeight="1">
      <c r="B8" s="270" t="s">
        <v>767</v>
      </c>
      <c r="D8" s="48">
        <f>D6*I51</f>
        <v>0.13830000000000001</v>
      </c>
      <c r="E8" s="48" t="s">
        <v>376</v>
      </c>
      <c r="G8" s="22" t="s">
        <v>376</v>
      </c>
      <c r="H8" s="33">
        <v>7.2329999999999997</v>
      </c>
      <c r="I8" s="7">
        <v>1</v>
      </c>
      <c r="J8" s="8">
        <v>0.2248</v>
      </c>
      <c r="K8" s="8">
        <v>0.10199999999999999</v>
      </c>
      <c r="L8" s="8" t="s">
        <v>13</v>
      </c>
      <c r="M8" s="24" t="s">
        <v>383</v>
      </c>
    </row>
    <row r="9" spans="2:13" ht="22.5" customHeight="1">
      <c r="B9" s="271" t="s">
        <v>768</v>
      </c>
      <c r="D9" s="48">
        <f>D6*J51</f>
        <v>3.1099999999999999E-2</v>
      </c>
      <c r="E9" s="48" t="s">
        <v>377</v>
      </c>
      <c r="G9" s="22" t="s">
        <v>377</v>
      </c>
      <c r="H9" s="34">
        <v>32.173999999999999</v>
      </c>
      <c r="I9" s="9">
        <v>4.4480000000000004</v>
      </c>
      <c r="J9" s="4">
        <v>1</v>
      </c>
      <c r="K9" s="5">
        <v>0.4536</v>
      </c>
      <c r="L9" s="5" t="s">
        <v>384</v>
      </c>
      <c r="M9" s="23" t="s">
        <v>385</v>
      </c>
    </row>
    <row r="10" spans="2:13" ht="22.5" customHeight="1">
      <c r="B10" s="270" t="s">
        <v>769</v>
      </c>
      <c r="D10" s="48">
        <f>D6*K51</f>
        <v>1.41E-2</v>
      </c>
      <c r="E10" s="48" t="s">
        <v>378</v>
      </c>
      <c r="G10" s="22" t="s">
        <v>378</v>
      </c>
      <c r="H10" s="35">
        <v>70.930000000000007</v>
      </c>
      <c r="I10" s="6">
        <v>9.8070000000000004</v>
      </c>
      <c r="J10" s="6">
        <v>2.2046000000000001</v>
      </c>
      <c r="K10" s="7">
        <v>1</v>
      </c>
      <c r="L10" s="6" t="s">
        <v>386</v>
      </c>
      <c r="M10" s="24" t="s">
        <v>387</v>
      </c>
    </row>
    <row r="11" spans="2:13" ht="22.5" customHeight="1">
      <c r="B11" s="271" t="s">
        <v>770</v>
      </c>
      <c r="D11" s="48">
        <f>D6*L51</f>
        <v>1.383E-4</v>
      </c>
      <c r="E11" s="48" t="s">
        <v>379</v>
      </c>
      <c r="G11" s="22" t="s">
        <v>379</v>
      </c>
      <c r="H11" s="36">
        <v>7233</v>
      </c>
      <c r="I11" s="9">
        <v>1000</v>
      </c>
      <c r="J11" s="5">
        <v>224.8</v>
      </c>
      <c r="K11" s="9" t="s">
        <v>388</v>
      </c>
      <c r="L11" s="4">
        <v>1</v>
      </c>
      <c r="M11" s="23">
        <v>0.1004</v>
      </c>
    </row>
    <row r="12" spans="2:13" ht="22.5" customHeight="1" thickBot="1">
      <c r="B12" s="270" t="s">
        <v>771</v>
      </c>
      <c r="D12" s="48">
        <f>D6*M51</f>
        <v>1.3900000000000001E-5</v>
      </c>
      <c r="E12" s="48" t="s">
        <v>380</v>
      </c>
      <c r="G12" s="27" t="s">
        <v>380</v>
      </c>
      <c r="H12" s="164" t="s">
        <v>389</v>
      </c>
      <c r="I12" s="165">
        <v>9964</v>
      </c>
      <c r="J12" s="166">
        <v>2240</v>
      </c>
      <c r="K12" s="165">
        <v>1016</v>
      </c>
      <c r="L12" s="165">
        <v>9.9640000000000004</v>
      </c>
      <c r="M12" s="167">
        <v>1</v>
      </c>
    </row>
    <row r="13" spans="2:13" ht="22.5" customHeight="1">
      <c r="B13" s="271" t="s">
        <v>772</v>
      </c>
      <c r="D13" s="48"/>
      <c r="E13" s="48"/>
    </row>
    <row r="14" spans="2:13" ht="22.5" customHeight="1">
      <c r="B14" s="270" t="s">
        <v>773</v>
      </c>
      <c r="D14" s="48"/>
      <c r="E14" s="48"/>
      <c r="G14" s="46" t="s">
        <v>390</v>
      </c>
    </row>
    <row r="15" spans="2:13" ht="22.5" customHeight="1">
      <c r="B15" s="271" t="s">
        <v>774</v>
      </c>
      <c r="G15" s="46" t="s">
        <v>391</v>
      </c>
    </row>
    <row r="16" spans="2:13" ht="22.5" customHeight="1">
      <c r="B16" s="270" t="s">
        <v>775</v>
      </c>
      <c r="G16" s="46"/>
    </row>
    <row r="17" spans="2:7" ht="22.5" customHeight="1">
      <c r="B17" s="271" t="s">
        <v>776</v>
      </c>
      <c r="G17" s="46"/>
    </row>
    <row r="18" spans="2:7" ht="22.5" customHeight="1">
      <c r="B18" s="270" t="s">
        <v>777</v>
      </c>
    </row>
    <row r="19" spans="2:7" ht="22.5" customHeight="1">
      <c r="B19" s="271" t="s">
        <v>778</v>
      </c>
      <c r="G19" s="46"/>
    </row>
    <row r="20" spans="2:7" ht="22.5" customHeight="1">
      <c r="B20" s="270" t="s">
        <v>779</v>
      </c>
      <c r="G20" s="46"/>
    </row>
    <row r="21" spans="2:7" ht="22.5" customHeight="1">
      <c r="B21" s="271" t="s">
        <v>780</v>
      </c>
      <c r="G21" s="46"/>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3" hidden="1">
      <c r="H50" s="40">
        <v>2</v>
      </c>
      <c r="I50" s="41">
        <v>3</v>
      </c>
      <c r="J50" s="41">
        <v>4</v>
      </c>
      <c r="K50" s="41">
        <v>5</v>
      </c>
      <c r="L50" s="41">
        <v>6</v>
      </c>
      <c r="M50" s="41">
        <v>7</v>
      </c>
    </row>
    <row r="51" spans="8:13" ht="15" hidden="1" thickBot="1">
      <c r="H51" s="43">
        <f t="shared" ref="H51:M51" si="0">VLOOKUP($E$6,$G$7:$M$15,H50,FALSE)</f>
        <v>1</v>
      </c>
      <c r="I51" s="44">
        <f t="shared" si="0"/>
        <v>0.13830000000000001</v>
      </c>
      <c r="J51" s="44">
        <f t="shared" si="0"/>
        <v>3.1099999999999999E-2</v>
      </c>
      <c r="K51" s="44">
        <f t="shared" si="0"/>
        <v>1.41E-2</v>
      </c>
      <c r="L51" s="44" t="str">
        <f t="shared" si="0"/>
        <v>1.383e-4</v>
      </c>
      <c r="M51" s="44" t="str">
        <f t="shared" si="0"/>
        <v>1.39e-5</v>
      </c>
    </row>
  </sheetData>
  <dataValidations count="1">
    <dataValidation type="list" allowBlank="1" showInputMessage="1" showErrorMessage="1" sqref="E6" xr:uid="{00000000-0002-0000-0A00-000000000000}">
      <formula1>E7:E12</formula1>
    </dataValidation>
  </dataValidations>
  <hyperlinks>
    <hyperlink ref="B4" location="'01'!A1" display="01 Length" xr:uid="{00000000-0004-0000-0A00-000000000000}"/>
    <hyperlink ref="B5" location="'02'!A1" display="02 Area (small)" xr:uid="{00000000-0004-0000-0A00-000001000000}"/>
    <hyperlink ref="B6" location="'03'!A1" display="03 Area (large)" xr:uid="{00000000-0004-0000-0A00-000002000000}"/>
    <hyperlink ref="B7" location="'04'!A1" display="04 Volume" xr:uid="{00000000-0004-0000-0A00-000003000000}"/>
    <hyperlink ref="B8" location="'05'!A1" display="05 Velocity" xr:uid="{00000000-0004-0000-0A00-000004000000}"/>
    <hyperlink ref="B9" location="'06'!A1" display="06 Volume flow" xr:uid="{00000000-0004-0000-0A00-000005000000}"/>
    <hyperlink ref="B10" location="'07'!A1" display="07 Mass" xr:uid="{00000000-0004-0000-0A00-000006000000}"/>
    <hyperlink ref="B11" location="'08'!A1" display="08 Density" xr:uid="{00000000-0004-0000-0A00-000007000000}"/>
    <hyperlink ref="B12" location="'09'!A1" display="09 Mass flow" xr:uid="{00000000-0004-0000-0A00-000008000000}"/>
    <hyperlink ref="B13" location="'10'!A1" display="10 Force" xr:uid="{00000000-0004-0000-0A00-000009000000}"/>
    <hyperlink ref="B14" location="'11'!A1" display="11 Pressure" xr:uid="{00000000-0004-0000-0A00-00000A000000}"/>
    <hyperlink ref="B15" location="'12'!A1" display="12 Energy" xr:uid="{00000000-0004-0000-0A00-00000B000000}"/>
    <hyperlink ref="B16" location="'13'!A1" display="13 Calorific value" xr:uid="{00000000-0004-0000-0A00-00000C000000}"/>
    <hyperlink ref="B17" location="'14'!A1" display="14 Gas price" xr:uid="{00000000-0004-0000-0A00-00000D000000}"/>
    <hyperlink ref="B18" location="'15'!A1" display="15 Temperature" xr:uid="{00000000-0004-0000-0A00-00000E000000}"/>
    <hyperlink ref="B19" location="'16'!A1" display="16 API gravity" xr:uid="{00000000-0004-0000-0A00-00000F000000}"/>
    <hyperlink ref="B20" location="'17'!A1" display="17 BOE" xr:uid="{00000000-0004-0000-0A00-000010000000}"/>
    <hyperlink ref="B21" location="'18'!A1" display="18 LNG" xr:uid="{00000000-0004-0000-0A00-000011000000}"/>
    <hyperlink ref="B22" location="'19'!A1" display="19 Emissions" xr:uid="{00000000-0004-0000-0A00-000012000000}"/>
    <hyperlink ref="B23" location="'20'!A1" display="20 SI prefixes" xr:uid="{00000000-0004-0000-0A00-000013000000}"/>
    <hyperlink ref="B24" location="'21'!A1" display="21 ISO 6974" xr:uid="{00000000-0004-0000-0A00-000014000000}"/>
    <hyperlink ref="B25" location="'22'!A1" display="22 SRK equation" xr:uid="{00000000-0004-0000-0A00-000015000000}"/>
  </hyperlink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51"/>
  <sheetViews>
    <sheetView showGridLines="0" topLeftCell="A16" workbookViewId="0">
      <selection activeCell="A51" sqref="A49:XFD51"/>
    </sheetView>
  </sheetViews>
  <sheetFormatPr defaultRowHeight="14.4"/>
  <cols>
    <col min="1" max="1" width="3.21875" customWidth="1"/>
    <col min="2" max="2" width="19.88671875" customWidth="1"/>
    <col min="3" max="3" width="2.77734375" customWidth="1"/>
    <col min="4" max="4" width="11.109375" customWidth="1"/>
    <col min="5" max="5" width="9.21875" customWidth="1"/>
    <col min="8" max="18" width="11.6640625" customWidth="1"/>
  </cols>
  <sheetData>
    <row r="1" spans="2:18" ht="7.95" customHeight="1"/>
    <row r="2" spans="2:18" ht="60.45" customHeight="1">
      <c r="D2" s="56" t="s">
        <v>773</v>
      </c>
      <c r="E2" s="3"/>
    </row>
    <row r="3" spans="2:18" ht="7.95" customHeight="1">
      <c r="H3" s="1"/>
      <c r="I3" s="1"/>
      <c r="J3" s="1"/>
      <c r="K3" s="1"/>
      <c r="L3" s="1"/>
      <c r="M3" s="1"/>
      <c r="N3" s="1"/>
      <c r="O3" s="2"/>
      <c r="P3" s="1"/>
      <c r="Q3" s="1"/>
      <c r="R3" s="1"/>
    </row>
    <row r="4" spans="2:18" ht="22.5" customHeight="1">
      <c r="B4" s="270" t="s">
        <v>763</v>
      </c>
      <c r="H4" s="1"/>
      <c r="I4" s="1"/>
      <c r="J4" s="1"/>
      <c r="K4" s="1"/>
      <c r="L4" s="1"/>
      <c r="M4" s="1"/>
      <c r="N4" s="1"/>
      <c r="O4" s="2"/>
      <c r="P4" s="1"/>
      <c r="Q4" s="1"/>
      <c r="R4" s="1"/>
    </row>
    <row r="5" spans="2:18" ht="22.5" customHeight="1" thickBot="1">
      <c r="B5" s="271" t="s">
        <v>764</v>
      </c>
      <c r="H5" s="1"/>
      <c r="I5" s="1"/>
      <c r="J5" s="1"/>
      <c r="K5" s="1"/>
      <c r="L5" s="1"/>
      <c r="M5" s="1"/>
      <c r="N5" s="1"/>
      <c r="O5" s="2"/>
      <c r="P5" s="1"/>
      <c r="Q5" s="1"/>
      <c r="R5" s="1"/>
    </row>
    <row r="6" spans="2:18" ht="22.5" customHeight="1" thickBot="1">
      <c r="B6" s="270" t="s">
        <v>765</v>
      </c>
      <c r="D6" s="169">
        <v>23</v>
      </c>
      <c r="E6" s="168" t="s">
        <v>405</v>
      </c>
      <c r="G6" s="18"/>
      <c r="H6" s="19" t="s">
        <v>405</v>
      </c>
      <c r="I6" s="20" t="s">
        <v>406</v>
      </c>
      <c r="J6" s="20" t="s">
        <v>407</v>
      </c>
      <c r="K6" s="20" t="s">
        <v>408</v>
      </c>
      <c r="L6" s="20" t="s">
        <v>409</v>
      </c>
      <c r="M6" s="20" t="s">
        <v>410</v>
      </c>
      <c r="N6" s="20" t="s">
        <v>411</v>
      </c>
      <c r="O6" s="20" t="s">
        <v>412</v>
      </c>
      <c r="P6" s="20" t="s">
        <v>413</v>
      </c>
      <c r="Q6" s="20" t="s">
        <v>414</v>
      </c>
      <c r="R6" s="21" t="s">
        <v>415</v>
      </c>
    </row>
    <row r="7" spans="2:18" ht="22.5" customHeight="1">
      <c r="B7" s="271" t="s">
        <v>766</v>
      </c>
      <c r="D7" s="48">
        <f>D6*H51</f>
        <v>23</v>
      </c>
      <c r="E7" s="48" t="s">
        <v>405</v>
      </c>
      <c r="G7" s="22" t="s">
        <v>405</v>
      </c>
      <c r="H7" s="30">
        <v>1</v>
      </c>
      <c r="I7" s="31">
        <v>2.0889999999999999E-2</v>
      </c>
      <c r="J7" s="31" t="s">
        <v>416</v>
      </c>
      <c r="K7" s="31" t="s">
        <v>417</v>
      </c>
      <c r="L7" s="31" t="s">
        <v>418</v>
      </c>
      <c r="M7" s="31" t="s">
        <v>13</v>
      </c>
      <c r="N7" s="31" t="s">
        <v>419</v>
      </c>
      <c r="O7" s="31" t="s">
        <v>420</v>
      </c>
      <c r="P7" s="31" t="s">
        <v>421</v>
      </c>
      <c r="Q7" s="31" t="s">
        <v>157</v>
      </c>
      <c r="R7" s="32" t="s">
        <v>422</v>
      </c>
    </row>
    <row r="8" spans="2:18" ht="22.5" customHeight="1">
      <c r="B8" s="270" t="s">
        <v>767</v>
      </c>
      <c r="D8" s="48">
        <f>D6*I51</f>
        <v>0.48046999999999995</v>
      </c>
      <c r="E8" s="48" t="s">
        <v>406</v>
      </c>
      <c r="G8" s="22" t="s">
        <v>406</v>
      </c>
      <c r="H8" s="33">
        <v>47.88</v>
      </c>
      <c r="I8" s="7">
        <v>1</v>
      </c>
      <c r="J8" s="8">
        <v>0.4788</v>
      </c>
      <c r="K8" s="8">
        <v>0.35909999999999997</v>
      </c>
      <c r="L8" s="8">
        <v>0.19220000000000001</v>
      </c>
      <c r="M8" s="8">
        <v>4.7879999999999999E-2</v>
      </c>
      <c r="N8" s="8">
        <v>1.414E-2</v>
      </c>
      <c r="O8" s="8" t="s">
        <v>423</v>
      </c>
      <c r="P8" s="8" t="s">
        <v>424</v>
      </c>
      <c r="Q8" s="8" t="s">
        <v>425</v>
      </c>
      <c r="R8" s="24" t="s">
        <v>426</v>
      </c>
    </row>
    <row r="9" spans="2:18" ht="22.5" customHeight="1">
      <c r="B9" s="271" t="s">
        <v>768</v>
      </c>
      <c r="D9" s="48">
        <f>D6*J51</f>
        <v>0.23</v>
      </c>
      <c r="E9" s="48" t="s">
        <v>407</v>
      </c>
      <c r="G9" s="22" t="s">
        <v>407</v>
      </c>
      <c r="H9" s="34">
        <v>100</v>
      </c>
      <c r="I9" s="9">
        <v>2.089</v>
      </c>
      <c r="J9" s="4">
        <v>1</v>
      </c>
      <c r="K9" s="5">
        <v>0.75009999999999999</v>
      </c>
      <c r="L9" s="5">
        <v>0.40150000000000002</v>
      </c>
      <c r="M9" s="5" t="s">
        <v>427</v>
      </c>
      <c r="N9" s="5">
        <v>2.9530000000000001E-2</v>
      </c>
      <c r="O9" s="5" t="s">
        <v>428</v>
      </c>
      <c r="P9" s="5" t="s">
        <v>429</v>
      </c>
      <c r="Q9" s="5" t="s">
        <v>13</v>
      </c>
      <c r="R9" s="23" t="s">
        <v>430</v>
      </c>
    </row>
    <row r="10" spans="2:18" ht="22.5" customHeight="1">
      <c r="B10" s="270" t="s">
        <v>769</v>
      </c>
      <c r="D10" s="48">
        <f>D6*K51</f>
        <v>0.17252300000000001</v>
      </c>
      <c r="E10" s="48" t="s">
        <v>408</v>
      </c>
      <c r="G10" s="22" t="s">
        <v>408</v>
      </c>
      <c r="H10" s="35">
        <v>133.30000000000001</v>
      </c>
      <c r="I10" s="6">
        <v>2.7850000000000001</v>
      </c>
      <c r="J10" s="6">
        <v>1.333</v>
      </c>
      <c r="K10" s="7">
        <v>1</v>
      </c>
      <c r="L10" s="6">
        <v>0.53520000000000001</v>
      </c>
      <c r="M10" s="8">
        <v>0.1333</v>
      </c>
      <c r="N10" s="6">
        <v>3.9370000000000002E-2</v>
      </c>
      <c r="O10" s="6">
        <v>1.934E-2</v>
      </c>
      <c r="P10" s="6" t="s">
        <v>431</v>
      </c>
      <c r="Q10" s="8" t="s">
        <v>432</v>
      </c>
      <c r="R10" s="24" t="s">
        <v>433</v>
      </c>
    </row>
    <row r="11" spans="2:18" ht="22.5" customHeight="1">
      <c r="B11" s="271" t="s">
        <v>770</v>
      </c>
      <c r="D11" s="48">
        <f>D6*L51</f>
        <v>9.234500000000001E-2</v>
      </c>
      <c r="E11" s="48" t="s">
        <v>409</v>
      </c>
      <c r="G11" s="22" t="s">
        <v>409</v>
      </c>
      <c r="H11" s="36">
        <v>249.1</v>
      </c>
      <c r="I11" s="9">
        <v>5.202</v>
      </c>
      <c r="J11" s="5">
        <v>2.4910000000000001</v>
      </c>
      <c r="K11" s="9">
        <v>1.8680000000000001</v>
      </c>
      <c r="L11" s="4">
        <v>1</v>
      </c>
      <c r="M11" s="5">
        <v>0.24909999999999999</v>
      </c>
      <c r="N11" s="5">
        <v>7.356E-2</v>
      </c>
      <c r="O11" s="9">
        <v>3.6130000000000002E-2</v>
      </c>
      <c r="P11" s="9" t="s">
        <v>434</v>
      </c>
      <c r="Q11" s="5" t="s">
        <v>435</v>
      </c>
      <c r="R11" s="23" t="s">
        <v>436</v>
      </c>
    </row>
    <row r="12" spans="2:18" ht="22.5" customHeight="1">
      <c r="B12" s="270" t="s">
        <v>771</v>
      </c>
      <c r="D12" s="48">
        <f>D6*M51</f>
        <v>2.3E-2</v>
      </c>
      <c r="E12" s="48" t="s">
        <v>410</v>
      </c>
      <c r="G12" s="22" t="s">
        <v>410</v>
      </c>
      <c r="H12" s="35">
        <v>1000</v>
      </c>
      <c r="I12" s="6">
        <v>20.89</v>
      </c>
      <c r="J12" s="10">
        <v>10</v>
      </c>
      <c r="K12" s="6">
        <v>7.5006000000000004</v>
      </c>
      <c r="L12" s="6">
        <v>4.0147000000000004</v>
      </c>
      <c r="M12" s="11">
        <v>1</v>
      </c>
      <c r="N12" s="6">
        <v>0.29530000000000001</v>
      </c>
      <c r="O12" s="6">
        <v>0.14504</v>
      </c>
      <c r="P12" s="6">
        <v>1.0196999999999999E-2</v>
      </c>
      <c r="Q12" s="8" t="s">
        <v>416</v>
      </c>
      <c r="R12" s="24" t="s">
        <v>437</v>
      </c>
    </row>
    <row r="13" spans="2:18" ht="22.5" customHeight="1">
      <c r="B13" s="271" t="s">
        <v>772</v>
      </c>
      <c r="D13" s="48">
        <f>D6*N51</f>
        <v>6.7919000000000009E-3</v>
      </c>
      <c r="E13" s="48" t="s">
        <v>411</v>
      </c>
      <c r="G13" s="22" t="s">
        <v>411</v>
      </c>
      <c r="H13" s="37">
        <v>3386</v>
      </c>
      <c r="I13" s="12">
        <v>70.73</v>
      </c>
      <c r="J13" s="12">
        <v>33.86</v>
      </c>
      <c r="K13" s="13">
        <v>25.4</v>
      </c>
      <c r="L13" s="13" t="s">
        <v>438</v>
      </c>
      <c r="M13" s="13">
        <v>3.3860000000000001</v>
      </c>
      <c r="N13" s="14">
        <v>1</v>
      </c>
      <c r="O13" s="13">
        <v>0.49120000000000003</v>
      </c>
      <c r="P13" s="13">
        <v>3.4529999999999998E-2</v>
      </c>
      <c r="Q13" s="12">
        <v>3.3860000000000001E-2</v>
      </c>
      <c r="R13" s="25">
        <v>3.3419999999999998E-2</v>
      </c>
    </row>
    <row r="14" spans="2:18" ht="22.5" customHeight="1">
      <c r="B14" s="270" t="s">
        <v>773</v>
      </c>
      <c r="D14" s="48">
        <f>D6*O51</f>
        <v>3.3349999999999999E-3</v>
      </c>
      <c r="E14" s="48" t="s">
        <v>412</v>
      </c>
      <c r="G14" s="22" t="s">
        <v>412</v>
      </c>
      <c r="H14" s="38">
        <v>6895</v>
      </c>
      <c r="I14" s="15">
        <v>144</v>
      </c>
      <c r="J14" s="16">
        <v>68.95</v>
      </c>
      <c r="K14" s="16">
        <v>51.715000000000003</v>
      </c>
      <c r="L14" s="16">
        <v>27.681000000000001</v>
      </c>
      <c r="M14" s="16">
        <v>6.8948</v>
      </c>
      <c r="N14" s="16">
        <v>2.036</v>
      </c>
      <c r="O14" s="17">
        <v>1</v>
      </c>
      <c r="P14" s="16">
        <v>7.0309999999999997E-2</v>
      </c>
      <c r="Q14" s="16">
        <v>6.8949999999999997E-2</v>
      </c>
      <c r="R14" s="26">
        <v>6.8049999999999999E-2</v>
      </c>
    </row>
    <row r="15" spans="2:18" ht="22.5" customHeight="1">
      <c r="B15" s="271" t="s">
        <v>774</v>
      </c>
      <c r="D15" s="48">
        <f>D6*P51</f>
        <v>2.3455399999999999E-4</v>
      </c>
      <c r="E15" s="48" t="s">
        <v>413</v>
      </c>
      <c r="G15" s="22" t="s">
        <v>413</v>
      </c>
      <c r="H15" s="37" t="s">
        <v>439</v>
      </c>
      <c r="I15" s="12">
        <v>2048</v>
      </c>
      <c r="J15" s="12">
        <v>980.7</v>
      </c>
      <c r="K15" s="12">
        <v>735.6</v>
      </c>
      <c r="L15" s="13">
        <v>393.7</v>
      </c>
      <c r="M15" s="12">
        <v>98.07</v>
      </c>
      <c r="N15" s="13">
        <v>28.96</v>
      </c>
      <c r="O15" s="13">
        <v>14.22</v>
      </c>
      <c r="P15" s="14">
        <v>1</v>
      </c>
      <c r="Q15" s="13">
        <v>0.98070000000000002</v>
      </c>
      <c r="R15" s="25">
        <v>0.96779999999999999</v>
      </c>
    </row>
    <row r="16" spans="2:18" ht="22.5" customHeight="1">
      <c r="B16" s="270" t="s">
        <v>775</v>
      </c>
      <c r="D16" s="48">
        <f>D6*Q51</f>
        <v>2.3000000000000001E-4</v>
      </c>
      <c r="E16" s="48" t="s">
        <v>414</v>
      </c>
      <c r="G16" s="22" t="s">
        <v>414</v>
      </c>
      <c r="H16" s="38" t="s">
        <v>56</v>
      </c>
      <c r="I16" s="15">
        <v>2089</v>
      </c>
      <c r="J16" s="15">
        <v>1000</v>
      </c>
      <c r="K16" s="16">
        <v>750.1</v>
      </c>
      <c r="L16" s="16">
        <v>401.5</v>
      </c>
      <c r="M16" s="16">
        <v>100</v>
      </c>
      <c r="N16" s="16">
        <v>29.53</v>
      </c>
      <c r="O16" s="16" t="s">
        <v>440</v>
      </c>
      <c r="P16" s="16">
        <v>1.02</v>
      </c>
      <c r="Q16" s="17">
        <v>1</v>
      </c>
      <c r="R16" s="26">
        <v>0.9869</v>
      </c>
    </row>
    <row r="17" spans="2:18" ht="22.5" customHeight="1" thickBot="1">
      <c r="B17" s="271" t="s">
        <v>776</v>
      </c>
      <c r="D17" s="48">
        <f>D6*R51</f>
        <v>2.26987E-4</v>
      </c>
      <c r="E17" s="48" t="s">
        <v>415</v>
      </c>
      <c r="G17" s="27" t="s">
        <v>415</v>
      </c>
      <c r="H17" s="39" t="s">
        <v>441</v>
      </c>
      <c r="I17" s="28">
        <v>2116</v>
      </c>
      <c r="J17" s="28">
        <v>1013.25</v>
      </c>
      <c r="K17" s="28">
        <v>760</v>
      </c>
      <c r="L17" s="28">
        <v>106.8</v>
      </c>
      <c r="M17" s="28">
        <v>101.33</v>
      </c>
      <c r="N17" s="28">
        <v>29.92</v>
      </c>
      <c r="O17" s="28" t="s">
        <v>442</v>
      </c>
      <c r="P17" s="28">
        <v>1.0329999999999999</v>
      </c>
      <c r="Q17" s="28">
        <v>1.01325</v>
      </c>
      <c r="R17" s="29">
        <v>1</v>
      </c>
    </row>
    <row r="18" spans="2:18" ht="22.5" customHeight="1">
      <c r="B18" s="270" t="s">
        <v>777</v>
      </c>
    </row>
    <row r="19" spans="2:18" ht="22.5" customHeight="1">
      <c r="B19" s="271" t="s">
        <v>778</v>
      </c>
      <c r="G19" s="46" t="s">
        <v>443</v>
      </c>
    </row>
    <row r="20" spans="2:18" ht="22.5" customHeight="1">
      <c r="B20" s="270" t="s">
        <v>779</v>
      </c>
      <c r="G20" s="46" t="s">
        <v>444</v>
      </c>
    </row>
    <row r="21" spans="2:18" ht="22.5" customHeight="1">
      <c r="B21" s="271" t="s">
        <v>780</v>
      </c>
      <c r="G21" s="46" t="s">
        <v>445</v>
      </c>
    </row>
    <row r="22" spans="2:18" ht="22.5" customHeight="1">
      <c r="B22" s="270" t="s">
        <v>781</v>
      </c>
    </row>
    <row r="23" spans="2:18" ht="22.5" customHeight="1">
      <c r="B23" s="271" t="s">
        <v>782</v>
      </c>
    </row>
    <row r="24" spans="2:18" ht="22.5" customHeight="1">
      <c r="B24" s="270" t="s">
        <v>783</v>
      </c>
    </row>
    <row r="25" spans="2:18" ht="22.5" customHeight="1">
      <c r="B25" s="271" t="s">
        <v>784</v>
      </c>
    </row>
    <row r="26" spans="2:18" ht="22.5" customHeight="1"/>
    <row r="27" spans="2:18" ht="22.5" customHeight="1"/>
    <row r="49" spans="8:18" hidden="1"/>
    <row r="50" spans="8:18" hidden="1">
      <c r="H50" s="40">
        <v>2</v>
      </c>
      <c r="I50" s="41">
        <v>3</v>
      </c>
      <c r="J50" s="41">
        <v>4</v>
      </c>
      <c r="K50" s="41">
        <v>5</v>
      </c>
      <c r="L50" s="41">
        <v>6</v>
      </c>
      <c r="M50" s="41">
        <v>7</v>
      </c>
      <c r="N50" s="41">
        <v>8</v>
      </c>
      <c r="O50" s="41">
        <v>9</v>
      </c>
      <c r="P50" s="41">
        <v>10</v>
      </c>
      <c r="Q50" s="41">
        <v>11</v>
      </c>
      <c r="R50" s="42">
        <v>12</v>
      </c>
    </row>
    <row r="51" spans="8:18" ht="15" hidden="1" thickBot="1">
      <c r="H51" s="43">
        <f t="shared" ref="H51:R51" si="0">VLOOKUP($E$6,$G$7:$R$17,H50,FALSE)</f>
        <v>1</v>
      </c>
      <c r="I51" s="44">
        <f t="shared" si="0"/>
        <v>2.0889999999999999E-2</v>
      </c>
      <c r="J51" s="44" t="str">
        <f t="shared" si="0"/>
        <v>0.0100</v>
      </c>
      <c r="K51" s="44" t="str">
        <f t="shared" si="0"/>
        <v>7.501e-3</v>
      </c>
      <c r="L51" s="44" t="str">
        <f t="shared" si="0"/>
        <v>4.015e-3</v>
      </c>
      <c r="M51" s="44" t="str">
        <f t="shared" si="0"/>
        <v>1e-3</v>
      </c>
      <c r="N51" s="44" t="str">
        <f t="shared" si="0"/>
        <v>2.953e-4</v>
      </c>
      <c r="O51" s="44" t="str">
        <f t="shared" si="0"/>
        <v>1.450e-4</v>
      </c>
      <c r="P51" s="44" t="str">
        <f t="shared" si="0"/>
        <v>1.0198e-5</v>
      </c>
      <c r="Q51" s="44" t="str">
        <f t="shared" si="0"/>
        <v>1e-5</v>
      </c>
      <c r="R51" s="45" t="str">
        <f t="shared" si="0"/>
        <v>9.869e-6</v>
      </c>
    </row>
  </sheetData>
  <dataValidations count="1">
    <dataValidation type="list" allowBlank="1" showInputMessage="1" showErrorMessage="1" sqref="E6" xr:uid="{00000000-0002-0000-0B00-000000000000}">
      <formula1>E7:E17</formula1>
    </dataValidation>
  </dataValidations>
  <hyperlinks>
    <hyperlink ref="B4" location="'01'!A1" display="01 Length" xr:uid="{00000000-0004-0000-0B00-000000000000}"/>
    <hyperlink ref="B5" location="'02'!A1" display="02 Area (small)" xr:uid="{00000000-0004-0000-0B00-000001000000}"/>
    <hyperlink ref="B6" location="'03'!A1" display="03 Area (large)" xr:uid="{00000000-0004-0000-0B00-000002000000}"/>
    <hyperlink ref="B7" location="'04'!A1" display="04 Volume" xr:uid="{00000000-0004-0000-0B00-000003000000}"/>
    <hyperlink ref="B8" location="'05'!A1" display="05 Velocity" xr:uid="{00000000-0004-0000-0B00-000004000000}"/>
    <hyperlink ref="B9" location="'06'!A1" display="06 Volume flow" xr:uid="{00000000-0004-0000-0B00-000005000000}"/>
    <hyperlink ref="B10" location="'07'!A1" display="07 Mass" xr:uid="{00000000-0004-0000-0B00-000006000000}"/>
    <hyperlink ref="B11" location="'08'!A1" display="08 Density" xr:uid="{00000000-0004-0000-0B00-000007000000}"/>
    <hyperlink ref="B12" location="'09'!A1" display="09 Mass flow" xr:uid="{00000000-0004-0000-0B00-000008000000}"/>
    <hyperlink ref="B13" location="'10'!A1" display="10 Force" xr:uid="{00000000-0004-0000-0B00-000009000000}"/>
    <hyperlink ref="B14" location="'11'!A1" display="11 Pressure" xr:uid="{00000000-0004-0000-0B00-00000A000000}"/>
    <hyperlink ref="B15" location="'12'!A1" display="12 Energy" xr:uid="{00000000-0004-0000-0B00-00000B000000}"/>
    <hyperlink ref="B16" location="'13'!A1" display="13 Calorific value" xr:uid="{00000000-0004-0000-0B00-00000C000000}"/>
    <hyperlink ref="B17" location="'14'!A1" display="14 Gas price" xr:uid="{00000000-0004-0000-0B00-00000D000000}"/>
    <hyperlink ref="B18" location="'15'!A1" display="15 Temperature" xr:uid="{00000000-0004-0000-0B00-00000E000000}"/>
    <hyperlink ref="B19" location="'16'!A1" display="16 API gravity" xr:uid="{00000000-0004-0000-0B00-00000F000000}"/>
    <hyperlink ref="B20" location="'17'!A1" display="17 BOE" xr:uid="{00000000-0004-0000-0B00-000010000000}"/>
    <hyperlink ref="B21" location="'18'!A1" display="18 LNG" xr:uid="{00000000-0004-0000-0B00-000011000000}"/>
    <hyperlink ref="B22" location="'19'!A1" display="19 Emissions" xr:uid="{00000000-0004-0000-0B00-000012000000}"/>
    <hyperlink ref="B23" location="'20'!A1" display="20 SI prefixes" xr:uid="{00000000-0004-0000-0B00-000013000000}"/>
    <hyperlink ref="B24" location="'21'!A1" display="21 ISO 6974" xr:uid="{00000000-0004-0000-0B00-000014000000}"/>
    <hyperlink ref="B25" location="'22'!A1" display="22 SRK equation" xr:uid="{00000000-0004-0000-0B00-000015000000}"/>
  </hyperlink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51"/>
  <sheetViews>
    <sheetView showGridLines="0" workbookViewId="0">
      <selection activeCell="B24" sqref="B24"/>
    </sheetView>
  </sheetViews>
  <sheetFormatPr defaultRowHeight="14.4"/>
  <cols>
    <col min="1" max="1" width="3.21875" customWidth="1"/>
    <col min="2" max="2" width="19.88671875" customWidth="1"/>
    <col min="3" max="3" width="2.77734375" customWidth="1"/>
    <col min="4" max="4" width="11.109375" customWidth="1"/>
    <col min="5" max="5" width="9.21875" customWidth="1"/>
    <col min="8" max="18" width="11.6640625" customWidth="1"/>
  </cols>
  <sheetData>
    <row r="1" spans="2:18" ht="7.95" customHeight="1"/>
    <row r="2" spans="2:18" ht="60.45" customHeight="1">
      <c r="D2" s="56" t="s">
        <v>774</v>
      </c>
      <c r="E2" s="3"/>
    </row>
    <row r="3" spans="2:18" ht="7.95" customHeight="1">
      <c r="H3" s="1"/>
      <c r="I3" s="1"/>
      <c r="J3" s="1"/>
      <c r="K3" s="1"/>
      <c r="L3" s="1"/>
      <c r="M3" s="1"/>
      <c r="N3" s="1"/>
      <c r="O3" s="2"/>
      <c r="P3" s="1"/>
      <c r="Q3" s="1"/>
      <c r="R3" s="1"/>
    </row>
    <row r="4" spans="2:18" ht="22.5" customHeight="1">
      <c r="B4" s="270" t="s">
        <v>763</v>
      </c>
      <c r="H4" s="1"/>
      <c r="I4" s="1"/>
      <c r="J4" s="1"/>
      <c r="K4" s="1"/>
      <c r="L4" s="1"/>
      <c r="M4" s="1"/>
      <c r="N4" s="1"/>
      <c r="O4" s="2"/>
      <c r="P4" s="1"/>
      <c r="Q4" s="1"/>
      <c r="R4" s="1"/>
    </row>
    <row r="5" spans="2:18" ht="22.5" customHeight="1" thickBot="1">
      <c r="B5" s="271" t="s">
        <v>764</v>
      </c>
      <c r="H5" s="1"/>
      <c r="I5" s="1"/>
      <c r="J5" s="1"/>
      <c r="K5" s="1"/>
      <c r="L5" s="1"/>
      <c r="M5" s="1"/>
      <c r="N5" s="1"/>
      <c r="O5" s="2"/>
      <c r="P5" s="1"/>
      <c r="Q5" s="1"/>
      <c r="R5" s="1"/>
    </row>
    <row r="6" spans="2:18" ht="22.5" customHeight="1" thickBot="1">
      <c r="B6" s="270" t="s">
        <v>765</v>
      </c>
      <c r="D6" s="169">
        <v>1</v>
      </c>
      <c r="E6" s="168" t="s">
        <v>446</v>
      </c>
      <c r="G6" s="18"/>
      <c r="H6" s="19" t="s">
        <v>446</v>
      </c>
      <c r="I6" s="20" t="s">
        <v>447</v>
      </c>
      <c r="J6" s="20" t="s">
        <v>448</v>
      </c>
      <c r="K6" s="20" t="s">
        <v>449</v>
      </c>
      <c r="L6" s="20" t="s">
        <v>450</v>
      </c>
      <c r="M6" s="20" t="s">
        <v>451</v>
      </c>
      <c r="N6" s="20" t="s">
        <v>452</v>
      </c>
      <c r="O6" s="20" t="s">
        <v>453</v>
      </c>
      <c r="P6" s="20" t="s">
        <v>454</v>
      </c>
      <c r="Q6" s="20" t="s">
        <v>455</v>
      </c>
      <c r="R6" s="21" t="s">
        <v>456</v>
      </c>
    </row>
    <row r="7" spans="2:18" ht="22.5" customHeight="1">
      <c r="B7" s="271" t="s">
        <v>766</v>
      </c>
      <c r="D7" s="48">
        <f>D6*H51</f>
        <v>1</v>
      </c>
      <c r="E7" s="48" t="s">
        <v>446</v>
      </c>
      <c r="G7" s="22" t="s">
        <v>446</v>
      </c>
      <c r="H7" s="30">
        <v>1</v>
      </c>
      <c r="I7" s="31">
        <v>0.73760000000000003</v>
      </c>
      <c r="J7" s="31">
        <v>0.23880000000000001</v>
      </c>
      <c r="K7" s="31" t="s">
        <v>457</v>
      </c>
      <c r="L7" s="31" t="s">
        <v>13</v>
      </c>
      <c r="M7" s="31" t="s">
        <v>458</v>
      </c>
      <c r="N7" s="31" t="s">
        <v>459</v>
      </c>
      <c r="O7" s="31" t="s">
        <v>24</v>
      </c>
      <c r="P7" s="31" t="s">
        <v>460</v>
      </c>
      <c r="Q7" s="31" t="s">
        <v>17</v>
      </c>
      <c r="R7" s="32" t="s">
        <v>461</v>
      </c>
    </row>
    <row r="8" spans="2:18" ht="22.5" customHeight="1">
      <c r="B8" s="270" t="s">
        <v>767</v>
      </c>
      <c r="D8" s="48">
        <f>D6*I51</f>
        <v>0.73760000000000003</v>
      </c>
      <c r="E8" s="48" t="s">
        <v>447</v>
      </c>
      <c r="G8" s="22" t="s">
        <v>447</v>
      </c>
      <c r="H8" s="33">
        <v>1.3557999999999999</v>
      </c>
      <c r="I8" s="7">
        <v>1</v>
      </c>
      <c r="J8" s="8">
        <v>0.32379999999999998</v>
      </c>
      <c r="K8" s="8">
        <v>0.13830000000000001</v>
      </c>
      <c r="L8" s="8" t="s">
        <v>462</v>
      </c>
      <c r="M8" s="8" t="s">
        <v>463</v>
      </c>
      <c r="N8" s="8" t="s">
        <v>464</v>
      </c>
      <c r="O8" s="8" t="s">
        <v>465</v>
      </c>
      <c r="P8" s="8" t="s">
        <v>466</v>
      </c>
      <c r="Q8" s="8" t="s">
        <v>467</v>
      </c>
      <c r="R8" s="24" t="s">
        <v>468</v>
      </c>
    </row>
    <row r="9" spans="2:18" ht="22.5" customHeight="1">
      <c r="B9" s="271" t="s">
        <v>768</v>
      </c>
      <c r="D9" s="48">
        <f>D6*J51</f>
        <v>0.23880000000000001</v>
      </c>
      <c r="E9" s="48" t="s">
        <v>448</v>
      </c>
      <c r="G9" s="22" t="s">
        <v>448</v>
      </c>
      <c r="H9" s="34">
        <v>4.1867999999999999</v>
      </c>
      <c r="I9" s="9" t="s">
        <v>469</v>
      </c>
      <c r="J9" s="4">
        <v>1</v>
      </c>
      <c r="K9" s="5" t="s">
        <v>470</v>
      </c>
      <c r="L9" s="5" t="s">
        <v>471</v>
      </c>
      <c r="M9" s="5" t="s">
        <v>472</v>
      </c>
      <c r="N9" s="5" t="s">
        <v>13</v>
      </c>
      <c r="O9" s="5" t="s">
        <v>473</v>
      </c>
      <c r="P9" s="5" t="s">
        <v>474</v>
      </c>
      <c r="Q9" s="5" t="s">
        <v>475</v>
      </c>
      <c r="R9" s="23" t="s">
        <v>476</v>
      </c>
    </row>
    <row r="10" spans="2:18" ht="22.5" customHeight="1">
      <c r="B10" s="270" t="s">
        <v>769</v>
      </c>
      <c r="D10" s="48">
        <f>D6*K51</f>
        <v>0.10199999999999999</v>
      </c>
      <c r="E10" s="48" t="s">
        <v>449</v>
      </c>
      <c r="G10" s="22" t="s">
        <v>449</v>
      </c>
      <c r="H10" s="35">
        <v>9.8065999999999995</v>
      </c>
      <c r="I10" s="6" t="s">
        <v>477</v>
      </c>
      <c r="J10" s="6" t="s">
        <v>478</v>
      </c>
      <c r="K10" s="7">
        <v>1</v>
      </c>
      <c r="L10" s="6" t="s">
        <v>386</v>
      </c>
      <c r="M10" s="8" t="s">
        <v>479</v>
      </c>
      <c r="N10" s="6" t="s">
        <v>480</v>
      </c>
      <c r="O10" s="6" t="s">
        <v>481</v>
      </c>
      <c r="P10" s="6" t="s">
        <v>482</v>
      </c>
      <c r="Q10" s="8" t="s">
        <v>483</v>
      </c>
      <c r="R10" s="24" t="s">
        <v>484</v>
      </c>
    </row>
    <row r="11" spans="2:18" ht="22.5" customHeight="1">
      <c r="B11" s="271" t="s">
        <v>770</v>
      </c>
      <c r="D11" s="48">
        <f>D6*L51</f>
        <v>1E-3</v>
      </c>
      <c r="E11" s="48" t="s">
        <v>450</v>
      </c>
      <c r="G11" s="22" t="s">
        <v>450</v>
      </c>
      <c r="H11" s="36">
        <v>1000</v>
      </c>
      <c r="I11" s="9">
        <v>737.56</v>
      </c>
      <c r="J11" s="5">
        <v>238.85</v>
      </c>
      <c r="K11" s="9">
        <v>101.97</v>
      </c>
      <c r="L11" s="4">
        <v>1</v>
      </c>
      <c r="M11" s="5">
        <v>0.94779999999999998</v>
      </c>
      <c r="N11" s="5">
        <v>0.23880000000000001</v>
      </c>
      <c r="O11" s="9" t="s">
        <v>13</v>
      </c>
      <c r="P11" s="9" t="s">
        <v>485</v>
      </c>
      <c r="Q11" s="5" t="s">
        <v>15</v>
      </c>
      <c r="R11" s="23" t="s">
        <v>486</v>
      </c>
    </row>
    <row r="12" spans="2:18" ht="22.5" customHeight="1">
      <c r="B12" s="270" t="s">
        <v>771</v>
      </c>
      <c r="D12" s="48">
        <f>D6*M51</f>
        <v>9.4780000000000005E-4</v>
      </c>
      <c r="E12" s="48" t="s">
        <v>451</v>
      </c>
      <c r="G12" s="22" t="s">
        <v>451</v>
      </c>
      <c r="H12" s="35">
        <v>1055.06</v>
      </c>
      <c r="I12" s="6">
        <v>778.17</v>
      </c>
      <c r="J12" s="10" t="s">
        <v>487</v>
      </c>
      <c r="K12" s="6">
        <v>107.59</v>
      </c>
      <c r="L12" s="6">
        <v>1.0550999999999999</v>
      </c>
      <c r="M12" s="11">
        <v>1</v>
      </c>
      <c r="N12" s="6" t="s">
        <v>488</v>
      </c>
      <c r="O12" s="6" t="s">
        <v>489</v>
      </c>
      <c r="P12" s="6" t="s">
        <v>490</v>
      </c>
      <c r="Q12" s="8" t="s">
        <v>491</v>
      </c>
      <c r="R12" s="24" t="s">
        <v>157</v>
      </c>
    </row>
    <row r="13" spans="2:18" ht="22.5" customHeight="1">
      <c r="B13" s="271" t="s">
        <v>772</v>
      </c>
      <c r="D13" s="48">
        <f>D6*N51</f>
        <v>2.388E-4</v>
      </c>
      <c r="E13" s="48" t="s">
        <v>452</v>
      </c>
      <c r="G13" s="22" t="s">
        <v>452</v>
      </c>
      <c r="H13" s="37">
        <v>4186.8</v>
      </c>
      <c r="I13" s="12" t="s">
        <v>492</v>
      </c>
      <c r="J13" s="12">
        <v>1000</v>
      </c>
      <c r="K13" s="13">
        <v>427.04</v>
      </c>
      <c r="L13" s="13">
        <v>4.1867999999999999</v>
      </c>
      <c r="M13" s="13">
        <v>3.9683000000000002</v>
      </c>
      <c r="N13" s="14">
        <v>1</v>
      </c>
      <c r="O13" s="13" t="s">
        <v>471</v>
      </c>
      <c r="P13" s="13" t="s">
        <v>493</v>
      </c>
      <c r="Q13" s="12" t="s">
        <v>494</v>
      </c>
      <c r="R13" s="25" t="s">
        <v>495</v>
      </c>
    </row>
    <row r="14" spans="2:18" ht="22.5" customHeight="1">
      <c r="B14" s="270" t="s">
        <v>773</v>
      </c>
      <c r="D14" s="48">
        <f>D6*O51</f>
        <v>9.9999999999999995E-7</v>
      </c>
      <c r="E14" s="48" t="s">
        <v>453</v>
      </c>
      <c r="G14" s="22" t="s">
        <v>453</v>
      </c>
      <c r="H14" s="38" t="s">
        <v>45</v>
      </c>
      <c r="I14" s="15">
        <v>737562</v>
      </c>
      <c r="J14" s="16">
        <v>238846</v>
      </c>
      <c r="K14" s="16">
        <v>101972</v>
      </c>
      <c r="L14" s="16">
        <v>1000</v>
      </c>
      <c r="M14" s="16">
        <v>947.81690000000003</v>
      </c>
      <c r="N14" s="16">
        <v>238.85</v>
      </c>
      <c r="O14" s="17">
        <v>1</v>
      </c>
      <c r="P14" s="16">
        <v>0.3725</v>
      </c>
      <c r="Q14" s="16">
        <v>0.27779999999999999</v>
      </c>
      <c r="R14" s="26" t="s">
        <v>496</v>
      </c>
    </row>
    <row r="15" spans="2:18" ht="22.5" customHeight="1">
      <c r="B15" s="271" t="s">
        <v>774</v>
      </c>
      <c r="D15" s="48">
        <f>D6*P51</f>
        <v>3.7249999999999998E-7</v>
      </c>
      <c r="E15" s="48" t="s">
        <v>454</v>
      </c>
      <c r="G15" s="22" t="s">
        <v>454</v>
      </c>
      <c r="H15" s="37" t="s">
        <v>497</v>
      </c>
      <c r="I15" s="12" t="s">
        <v>498</v>
      </c>
      <c r="J15" s="12">
        <v>641186</v>
      </c>
      <c r="K15" s="12">
        <v>273745</v>
      </c>
      <c r="L15" s="13">
        <v>2684.5</v>
      </c>
      <c r="M15" s="12">
        <v>2544.4</v>
      </c>
      <c r="N15" s="13">
        <v>641.19000000000005</v>
      </c>
      <c r="O15" s="13">
        <v>2.6844999999999999</v>
      </c>
      <c r="P15" s="14">
        <v>1</v>
      </c>
      <c r="Q15" s="13">
        <v>0.74570000000000003</v>
      </c>
      <c r="R15" s="25">
        <v>2.5440000000000001E-2</v>
      </c>
    </row>
    <row r="16" spans="2:18" ht="22.5" customHeight="1">
      <c r="B16" s="270" t="s">
        <v>775</v>
      </c>
      <c r="D16" s="48">
        <f>D6*Q51</f>
        <v>2.7780000000000001E-7</v>
      </c>
      <c r="E16" s="48" t="s">
        <v>455</v>
      </c>
      <c r="G16" s="22" t="s">
        <v>455</v>
      </c>
      <c r="H16" s="38" t="s">
        <v>499</v>
      </c>
      <c r="I16" s="15" t="s">
        <v>500</v>
      </c>
      <c r="J16" s="15">
        <v>859845</v>
      </c>
      <c r="K16" s="16">
        <v>367098</v>
      </c>
      <c r="L16" s="16">
        <v>3600</v>
      </c>
      <c r="M16" s="16">
        <v>3412.1</v>
      </c>
      <c r="N16" s="16">
        <v>859.84</v>
      </c>
      <c r="O16" s="16" t="s">
        <v>501</v>
      </c>
      <c r="P16" s="16" t="s">
        <v>502</v>
      </c>
      <c r="Q16" s="17">
        <v>1</v>
      </c>
      <c r="R16" s="26">
        <v>3.4119999999999998E-2</v>
      </c>
    </row>
    <row r="17" spans="2:18" ht="22.5" customHeight="1" thickBot="1">
      <c r="B17" s="271" t="s">
        <v>776</v>
      </c>
      <c r="D17" s="48">
        <f>D6*R51</f>
        <v>9.4780000000000006E-9</v>
      </c>
      <c r="E17" s="48" t="s">
        <v>456</v>
      </c>
      <c r="G17" s="27" t="s">
        <v>456</v>
      </c>
      <c r="H17" s="39" t="s">
        <v>503</v>
      </c>
      <c r="I17" s="28" t="s">
        <v>504</v>
      </c>
      <c r="J17" s="28" t="s">
        <v>505</v>
      </c>
      <c r="K17" s="28" t="s">
        <v>506</v>
      </c>
      <c r="L17" s="28" t="s">
        <v>507</v>
      </c>
      <c r="M17" s="28" t="s">
        <v>56</v>
      </c>
      <c r="N17" s="28">
        <v>25200</v>
      </c>
      <c r="O17" s="28">
        <v>105.5056</v>
      </c>
      <c r="P17" s="28">
        <v>39.301000000000002</v>
      </c>
      <c r="Q17" s="28">
        <v>29.306999999999999</v>
      </c>
      <c r="R17" s="29">
        <v>1</v>
      </c>
    </row>
    <row r="18" spans="2:18" ht="22.5" customHeight="1">
      <c r="B18" s="270" t="s">
        <v>777</v>
      </c>
    </row>
    <row r="19" spans="2:18" ht="22.5" customHeight="1">
      <c r="B19" s="271" t="s">
        <v>778</v>
      </c>
      <c r="G19" s="46" t="s">
        <v>508</v>
      </c>
    </row>
    <row r="20" spans="2:18" ht="22.5" customHeight="1">
      <c r="B20" s="270" t="s">
        <v>779</v>
      </c>
      <c r="G20" s="46" t="s">
        <v>509</v>
      </c>
    </row>
    <row r="21" spans="2:18" ht="22.5" customHeight="1">
      <c r="B21" s="271" t="s">
        <v>780</v>
      </c>
      <c r="G21" s="46" t="s">
        <v>510</v>
      </c>
    </row>
    <row r="22" spans="2:18" ht="22.5" customHeight="1">
      <c r="B22" s="270" t="s">
        <v>781</v>
      </c>
      <c r="G22" s="46" t="s">
        <v>511</v>
      </c>
    </row>
    <row r="23" spans="2:18" ht="22.5" customHeight="1">
      <c r="B23" s="271" t="s">
        <v>782</v>
      </c>
      <c r="G23" s="46" t="s">
        <v>512</v>
      </c>
    </row>
    <row r="24" spans="2:18" ht="22.5" customHeight="1">
      <c r="B24" s="270" t="s">
        <v>783</v>
      </c>
      <c r="G24" s="46" t="s">
        <v>513</v>
      </c>
    </row>
    <row r="25" spans="2:18" ht="22.5" customHeight="1">
      <c r="B25" s="271" t="s">
        <v>784</v>
      </c>
      <c r="G25" s="46" t="s">
        <v>514</v>
      </c>
    </row>
    <row r="26" spans="2:18" ht="22.5" customHeight="1"/>
    <row r="27" spans="2:18" ht="22.5" customHeight="1"/>
    <row r="50" spans="8:18" hidden="1">
      <c r="H50" s="40">
        <v>2</v>
      </c>
      <c r="I50" s="41">
        <v>3</v>
      </c>
      <c r="J50" s="41">
        <v>4</v>
      </c>
      <c r="K50" s="41">
        <v>5</v>
      </c>
      <c r="L50" s="41">
        <v>6</v>
      </c>
      <c r="M50" s="41">
        <v>7</v>
      </c>
      <c r="N50" s="41">
        <v>8</v>
      </c>
      <c r="O50" s="41">
        <v>9</v>
      </c>
      <c r="P50" s="41">
        <v>10</v>
      </c>
      <c r="Q50" s="41">
        <v>11</v>
      </c>
      <c r="R50" s="42">
        <v>12</v>
      </c>
    </row>
    <row r="51" spans="8:18" ht="15" hidden="1" thickBot="1">
      <c r="H51" s="43">
        <f t="shared" ref="H51:R51" si="0">VLOOKUP($E$6,$G$7:$R$17,H50,FALSE)</f>
        <v>1</v>
      </c>
      <c r="I51" s="44">
        <f t="shared" si="0"/>
        <v>0.73760000000000003</v>
      </c>
      <c r="J51" s="44">
        <f t="shared" si="0"/>
        <v>0.23880000000000001</v>
      </c>
      <c r="K51" s="44" t="str">
        <f t="shared" si="0"/>
        <v>0.1020</v>
      </c>
      <c r="L51" s="44" t="str">
        <f t="shared" si="0"/>
        <v>1e-3</v>
      </c>
      <c r="M51" s="44" t="str">
        <f t="shared" si="0"/>
        <v>9.478e-4</v>
      </c>
      <c r="N51" s="44" t="str">
        <f t="shared" si="0"/>
        <v>2.388e-4</v>
      </c>
      <c r="O51" s="44" t="str">
        <f t="shared" si="0"/>
        <v>1e-6</v>
      </c>
      <c r="P51" s="44" t="str">
        <f t="shared" si="0"/>
        <v>3.725e-7</v>
      </c>
      <c r="Q51" s="44" t="str">
        <f t="shared" si="0"/>
        <v>2.778e-7</v>
      </c>
      <c r="R51" s="45" t="str">
        <f t="shared" si="0"/>
        <v>9.478e-9</v>
      </c>
    </row>
  </sheetData>
  <dataValidations count="1">
    <dataValidation type="list" allowBlank="1" showInputMessage="1" showErrorMessage="1" sqref="E6" xr:uid="{00000000-0002-0000-0C00-000000000000}">
      <formula1>E7:E17</formula1>
    </dataValidation>
  </dataValidations>
  <hyperlinks>
    <hyperlink ref="B4" location="'01'!A1" display="01 Length" xr:uid="{00000000-0004-0000-0C00-000000000000}"/>
    <hyperlink ref="B5" location="'02'!A1" display="02 Area (small)" xr:uid="{00000000-0004-0000-0C00-000001000000}"/>
    <hyperlink ref="B6" location="'03'!A1" display="03 Area (large)" xr:uid="{00000000-0004-0000-0C00-000002000000}"/>
    <hyperlink ref="B7" location="'04'!A1" display="04 Volume" xr:uid="{00000000-0004-0000-0C00-000003000000}"/>
    <hyperlink ref="B8" location="'05'!A1" display="05 Velocity" xr:uid="{00000000-0004-0000-0C00-000004000000}"/>
    <hyperlink ref="B9" location="'06'!A1" display="06 Volume flow" xr:uid="{00000000-0004-0000-0C00-000005000000}"/>
    <hyperlink ref="B10" location="'07'!A1" display="07 Mass" xr:uid="{00000000-0004-0000-0C00-000006000000}"/>
    <hyperlink ref="B11" location="'08'!A1" display="08 Density" xr:uid="{00000000-0004-0000-0C00-000007000000}"/>
    <hyperlink ref="B12" location="'09'!A1" display="09 Mass flow" xr:uid="{00000000-0004-0000-0C00-000008000000}"/>
    <hyperlink ref="B13" location="'10'!A1" display="10 Force" xr:uid="{00000000-0004-0000-0C00-000009000000}"/>
    <hyperlink ref="B14" location="'11'!A1" display="11 Pressure" xr:uid="{00000000-0004-0000-0C00-00000A000000}"/>
    <hyperlink ref="B15" location="'12'!A1" display="12 Energy" xr:uid="{00000000-0004-0000-0C00-00000B000000}"/>
    <hyperlink ref="B16" location="'13'!A1" display="13 Calorific value" xr:uid="{00000000-0004-0000-0C00-00000C000000}"/>
    <hyperlink ref="B17" location="'14'!A1" display="14 Gas price" xr:uid="{00000000-0004-0000-0C00-00000D000000}"/>
    <hyperlink ref="B18" location="'15'!A1" display="15 Temperature" xr:uid="{00000000-0004-0000-0C00-00000E000000}"/>
    <hyperlink ref="B19" location="'16'!A1" display="16 API gravity" xr:uid="{00000000-0004-0000-0C00-00000F000000}"/>
    <hyperlink ref="B20" location="'17'!A1" display="17 BOE" xr:uid="{00000000-0004-0000-0C00-000010000000}"/>
    <hyperlink ref="B21" location="'18'!A1" display="18 LNG" xr:uid="{00000000-0004-0000-0C00-000011000000}"/>
    <hyperlink ref="B22" location="'19'!A1" display="19 Emissions" xr:uid="{00000000-0004-0000-0C00-000012000000}"/>
    <hyperlink ref="B23" location="'20'!A1" display="20 SI prefixes" xr:uid="{00000000-0004-0000-0C00-000013000000}"/>
    <hyperlink ref="B24" location="'21'!A1" display="21 ISO 6974" xr:uid="{00000000-0004-0000-0C00-000014000000}"/>
    <hyperlink ref="B25" location="'22'!A1" display="22 SRK equation" xr:uid="{00000000-0004-0000-0C00-000015000000}"/>
    <hyperlink ref="G25" location="'14'!A1" display="p/therm = p/'00MJ × 1.055056" xr:uid="{00000000-0004-0000-0C00-000016000000}"/>
    <hyperlink ref="G19" location="'17'!A1" display="1 BOE = 1.462e6 kcal = approx. 1.558 m³ of natural gas" xr:uid="{00000000-0004-0000-0C00-000017000000}"/>
  </hyperlink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N51"/>
  <sheetViews>
    <sheetView showGridLines="0" workbookViewId="0">
      <selection activeCell="B17" sqref="B17"/>
    </sheetView>
  </sheetViews>
  <sheetFormatPr defaultRowHeight="14.4"/>
  <cols>
    <col min="1" max="1" width="3.21875" customWidth="1"/>
    <col min="2" max="2" width="19.88671875" customWidth="1"/>
    <col min="3" max="3" width="2.77734375" customWidth="1"/>
    <col min="4" max="4" width="11.109375" customWidth="1"/>
    <col min="5" max="5" width="9.21875" customWidth="1"/>
    <col min="8" max="14" width="11.6640625" customWidth="1"/>
  </cols>
  <sheetData>
    <row r="1" spans="2:14" ht="7.95" customHeight="1"/>
    <row r="2" spans="2:14" ht="60.45" customHeight="1">
      <c r="D2" s="56" t="s">
        <v>775</v>
      </c>
      <c r="E2" s="3"/>
    </row>
    <row r="3" spans="2:14" ht="7.95" customHeight="1">
      <c r="H3" s="1"/>
      <c r="I3" s="1"/>
      <c r="J3" s="1"/>
      <c r="K3" s="1"/>
      <c r="L3" s="1"/>
      <c r="M3" s="1"/>
      <c r="N3" s="1"/>
    </row>
    <row r="4" spans="2:14" ht="22.5" customHeight="1">
      <c r="B4" s="270" t="s">
        <v>763</v>
      </c>
      <c r="H4" s="1"/>
      <c r="I4" s="1"/>
      <c r="J4" s="1"/>
      <c r="K4" s="1"/>
      <c r="L4" s="1"/>
      <c r="M4" s="1"/>
      <c r="N4" s="1"/>
    </row>
    <row r="5" spans="2:14" ht="22.5" customHeight="1" thickBot="1">
      <c r="B5" s="271" t="s">
        <v>764</v>
      </c>
      <c r="H5" s="1"/>
      <c r="I5" s="1"/>
      <c r="J5" s="1"/>
      <c r="K5" s="1"/>
      <c r="L5" s="1"/>
      <c r="M5" s="1"/>
      <c r="N5" s="1"/>
    </row>
    <row r="6" spans="2:14" ht="22.5" customHeight="1" thickBot="1">
      <c r="B6" s="270" t="s">
        <v>765</v>
      </c>
      <c r="D6" s="169">
        <v>35</v>
      </c>
      <c r="E6" s="168" t="s">
        <v>521</v>
      </c>
      <c r="G6" s="18"/>
      <c r="H6" s="19" t="s">
        <v>515</v>
      </c>
      <c r="I6" s="20" t="s">
        <v>516</v>
      </c>
      <c r="J6" s="20" t="s">
        <v>517</v>
      </c>
      <c r="K6" s="20" t="s">
        <v>518</v>
      </c>
      <c r="L6" s="20" t="s">
        <v>519</v>
      </c>
      <c r="M6" s="20" t="s">
        <v>520</v>
      </c>
      <c r="N6" s="21" t="s">
        <v>521</v>
      </c>
    </row>
    <row r="7" spans="2:14" ht="22.5" customHeight="1">
      <c r="B7" s="271" t="s">
        <v>766</v>
      </c>
      <c r="D7" s="48">
        <f>D6*H51</f>
        <v>35000000</v>
      </c>
      <c r="E7" s="48" t="s">
        <v>515</v>
      </c>
      <c r="G7" s="22" t="s">
        <v>515</v>
      </c>
      <c r="H7" s="30">
        <v>1</v>
      </c>
      <c r="I7" s="31">
        <v>2.6840000000000002</v>
      </c>
      <c r="J7" s="31" t="s">
        <v>13</v>
      </c>
      <c r="K7" s="31" t="s">
        <v>459</v>
      </c>
      <c r="L7" s="31" t="s">
        <v>522</v>
      </c>
      <c r="M7" s="31" t="s">
        <v>523</v>
      </c>
      <c r="N7" s="32" t="s">
        <v>24</v>
      </c>
    </row>
    <row r="8" spans="2:14" ht="22.5" customHeight="1">
      <c r="B8" s="270" t="s">
        <v>767</v>
      </c>
      <c r="D8" s="48">
        <f>D6*I51</f>
        <v>93940000</v>
      </c>
      <c r="E8" s="48" t="s">
        <v>516</v>
      </c>
      <c r="G8" s="22" t="s">
        <v>516</v>
      </c>
      <c r="H8" s="33">
        <v>0.37259999999999999</v>
      </c>
      <c r="I8" s="7">
        <v>1</v>
      </c>
      <c r="J8" s="8" t="s">
        <v>524</v>
      </c>
      <c r="K8" s="8" t="s">
        <v>525</v>
      </c>
      <c r="L8" s="8" t="s">
        <v>157</v>
      </c>
      <c r="M8" s="8" t="s">
        <v>526</v>
      </c>
      <c r="N8" s="24" t="s">
        <v>527</v>
      </c>
    </row>
    <row r="9" spans="2:14" ht="22.5" customHeight="1">
      <c r="B9" s="271" t="s">
        <v>768</v>
      </c>
      <c r="D9" s="48">
        <f>D6*J51</f>
        <v>35000</v>
      </c>
      <c r="E9" s="48" t="s">
        <v>517</v>
      </c>
      <c r="G9" s="22" t="s">
        <v>517</v>
      </c>
      <c r="H9" s="34">
        <v>1000</v>
      </c>
      <c r="I9" s="9">
        <v>2684</v>
      </c>
      <c r="J9" s="4">
        <v>1</v>
      </c>
      <c r="K9" s="5">
        <v>0.23880000000000001</v>
      </c>
      <c r="L9" s="5">
        <v>2.6839999999999999E-2</v>
      </c>
      <c r="M9" s="5">
        <v>1.494E-2</v>
      </c>
      <c r="N9" s="23" t="s">
        <v>13</v>
      </c>
    </row>
    <row r="10" spans="2:14" ht="22.5" customHeight="1">
      <c r="B10" s="270" t="s">
        <v>769</v>
      </c>
      <c r="D10" s="48">
        <f>D6*K51</f>
        <v>8358</v>
      </c>
      <c r="E10" s="48" t="s">
        <v>518</v>
      </c>
      <c r="G10" s="22" t="s">
        <v>518</v>
      </c>
      <c r="H10" s="35" t="s">
        <v>528</v>
      </c>
      <c r="I10" s="6">
        <v>11240</v>
      </c>
      <c r="J10" s="6">
        <v>4.1870000000000003</v>
      </c>
      <c r="K10" s="7">
        <v>1</v>
      </c>
      <c r="L10" s="6">
        <v>0.1124</v>
      </c>
      <c r="M10" s="8">
        <v>6.2429999999999999E-2</v>
      </c>
      <c r="N10" s="49" t="s">
        <v>471</v>
      </c>
    </row>
    <row r="11" spans="2:14" ht="22.5" customHeight="1">
      <c r="B11" s="271" t="s">
        <v>770</v>
      </c>
      <c r="D11" s="48">
        <f>D6*L51</f>
        <v>939.4</v>
      </c>
      <c r="E11" s="48" t="s">
        <v>519</v>
      </c>
      <c r="G11" s="22" t="s">
        <v>519</v>
      </c>
      <c r="H11" s="36" t="s">
        <v>529</v>
      </c>
      <c r="I11" s="9">
        <v>100000</v>
      </c>
      <c r="J11" s="5">
        <v>37.258000000000003</v>
      </c>
      <c r="K11" s="9">
        <v>8.8989999999999991</v>
      </c>
      <c r="L11" s="4">
        <v>1</v>
      </c>
      <c r="M11" s="5">
        <v>0.55556000000000005</v>
      </c>
      <c r="N11" s="23">
        <v>3.7260000000000001E-2</v>
      </c>
    </row>
    <row r="12" spans="2:14" ht="22.5" customHeight="1">
      <c r="B12" s="270" t="s">
        <v>771</v>
      </c>
      <c r="D12" s="48">
        <f>D6*M51</f>
        <v>521.85</v>
      </c>
      <c r="E12" s="48" t="s">
        <v>520</v>
      </c>
      <c r="G12" s="22" t="s">
        <v>520</v>
      </c>
      <c r="H12" s="35" t="s">
        <v>530</v>
      </c>
      <c r="I12" s="6">
        <v>180000</v>
      </c>
      <c r="J12" s="10">
        <v>67.069999999999993</v>
      </c>
      <c r="K12" s="6">
        <v>16.017900000000001</v>
      </c>
      <c r="L12" s="6" t="s">
        <v>531</v>
      </c>
      <c r="M12" s="11">
        <v>1</v>
      </c>
      <c r="N12" s="49">
        <v>6.7070000000000005E-2</v>
      </c>
    </row>
    <row r="13" spans="2:14" ht="22.5" customHeight="1" thickBot="1">
      <c r="B13" s="271" t="s">
        <v>772</v>
      </c>
      <c r="D13" s="48">
        <f>D6*N51</f>
        <v>35</v>
      </c>
      <c r="E13" s="48" t="s">
        <v>521</v>
      </c>
      <c r="G13" s="27" t="s">
        <v>521</v>
      </c>
      <c r="H13" s="39" t="s">
        <v>45</v>
      </c>
      <c r="I13" s="28">
        <v>2684000</v>
      </c>
      <c r="J13" s="28">
        <v>1000</v>
      </c>
      <c r="K13" s="175">
        <v>238.8</v>
      </c>
      <c r="L13" s="175">
        <v>26.84</v>
      </c>
      <c r="M13" s="175">
        <v>14.91</v>
      </c>
      <c r="N13" s="29">
        <v>1</v>
      </c>
    </row>
    <row r="14" spans="2:14" ht="22.5" customHeight="1">
      <c r="B14" s="270" t="s">
        <v>773</v>
      </c>
      <c r="D14" s="48"/>
      <c r="E14" s="48"/>
    </row>
    <row r="15" spans="2:14" ht="22.5" customHeight="1">
      <c r="B15" s="271" t="s">
        <v>774</v>
      </c>
      <c r="D15" s="48"/>
      <c r="E15" s="48"/>
      <c r="G15" s="46" t="s">
        <v>532</v>
      </c>
    </row>
    <row r="16" spans="2:14" ht="22.5" customHeight="1">
      <c r="B16" s="270" t="s">
        <v>775</v>
      </c>
      <c r="D16" s="48"/>
      <c r="E16" s="48"/>
      <c r="G16" s="46" t="s">
        <v>533</v>
      </c>
      <c r="N16" s="58" t="s">
        <v>535</v>
      </c>
    </row>
    <row r="17" spans="2:7" ht="22.5" customHeight="1">
      <c r="B17" s="271" t="s">
        <v>776</v>
      </c>
      <c r="D17" s="48"/>
      <c r="E17" s="48"/>
      <c r="G17" s="46" t="s">
        <v>534</v>
      </c>
    </row>
    <row r="18" spans="2:7" ht="22.5" customHeight="1">
      <c r="B18" s="270" t="s">
        <v>777</v>
      </c>
      <c r="G18" s="46"/>
    </row>
    <row r="19" spans="2:7" ht="22.5" customHeight="1">
      <c r="B19" s="271" t="s">
        <v>778</v>
      </c>
    </row>
    <row r="20" spans="2:7" ht="22.5" customHeight="1">
      <c r="B20" s="270" t="s">
        <v>779</v>
      </c>
      <c r="G20" s="46"/>
    </row>
    <row r="21" spans="2:7" ht="22.5" customHeight="1">
      <c r="B21" s="271" t="s">
        <v>780</v>
      </c>
      <c r="G21" s="46"/>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4" hidden="1">
      <c r="H50" s="40">
        <v>2</v>
      </c>
      <c r="I50" s="41">
        <v>3</v>
      </c>
      <c r="J50" s="41">
        <v>4</v>
      </c>
      <c r="K50" s="41">
        <v>5</v>
      </c>
      <c r="L50" s="41">
        <v>6</v>
      </c>
      <c r="M50" s="41">
        <v>7</v>
      </c>
      <c r="N50" s="41">
        <v>8</v>
      </c>
    </row>
    <row r="51" spans="8:14" ht="15" hidden="1" thickBot="1">
      <c r="H51" s="43" t="str">
        <f t="shared" ref="H51:N51" si="0">VLOOKUP($E$6,$G$7:$N$13,H50,FALSE)</f>
        <v>1e6</v>
      </c>
      <c r="I51" s="44">
        <f t="shared" si="0"/>
        <v>2684000</v>
      </c>
      <c r="J51" s="44">
        <f t="shared" si="0"/>
        <v>1000</v>
      </c>
      <c r="K51" s="44">
        <f t="shared" si="0"/>
        <v>238.8</v>
      </c>
      <c r="L51" s="44">
        <f t="shared" si="0"/>
        <v>26.84</v>
      </c>
      <c r="M51" s="44">
        <f t="shared" si="0"/>
        <v>14.91</v>
      </c>
      <c r="N51" s="44">
        <f t="shared" si="0"/>
        <v>1</v>
      </c>
    </row>
  </sheetData>
  <dataValidations count="1">
    <dataValidation type="list" allowBlank="1" showInputMessage="1" showErrorMessage="1" sqref="E6" xr:uid="{00000000-0002-0000-0D00-000000000000}">
      <formula1>E7:E13</formula1>
    </dataValidation>
  </dataValidations>
  <hyperlinks>
    <hyperlink ref="B4" location="'01'!A1" display="01 Length" xr:uid="{00000000-0004-0000-0D00-000000000000}"/>
    <hyperlink ref="B5" location="'02'!A1" display="02 Area (small)" xr:uid="{00000000-0004-0000-0D00-000001000000}"/>
    <hyperlink ref="B6" location="'03'!A1" display="03 Area (large)" xr:uid="{00000000-0004-0000-0D00-000002000000}"/>
    <hyperlink ref="B7" location="'04'!A1" display="04 Volume" xr:uid="{00000000-0004-0000-0D00-000003000000}"/>
    <hyperlink ref="B8" location="'05'!A1" display="05 Velocity" xr:uid="{00000000-0004-0000-0D00-000004000000}"/>
    <hyperlink ref="B9" location="'06'!A1" display="06 Volume flow" xr:uid="{00000000-0004-0000-0D00-000005000000}"/>
    <hyperlink ref="B10" location="'07'!A1" display="07 Mass" xr:uid="{00000000-0004-0000-0D00-000006000000}"/>
    <hyperlink ref="B11" location="'08'!A1" display="08 Density" xr:uid="{00000000-0004-0000-0D00-000007000000}"/>
    <hyperlink ref="B12" location="'09'!A1" display="09 Mass flow" xr:uid="{00000000-0004-0000-0D00-000008000000}"/>
    <hyperlink ref="B13" location="'10'!A1" display="10 Force" xr:uid="{00000000-0004-0000-0D00-000009000000}"/>
    <hyperlink ref="B14" location="'11'!A1" display="11 Pressure" xr:uid="{00000000-0004-0000-0D00-00000A000000}"/>
    <hyperlink ref="B15" location="'12'!A1" display="12 Energy" xr:uid="{00000000-0004-0000-0D00-00000B000000}"/>
    <hyperlink ref="B16" location="'13'!A1" display="13 Calorific value" xr:uid="{00000000-0004-0000-0D00-00000C000000}"/>
    <hyperlink ref="B17" location="'14'!A1" display="14 Gas price" xr:uid="{00000000-0004-0000-0D00-00000D000000}"/>
    <hyperlink ref="B18" location="'15'!A1" display="15 Temperature" xr:uid="{00000000-0004-0000-0D00-00000E000000}"/>
    <hyperlink ref="B19" location="'16'!A1" display="16 API gravity" xr:uid="{00000000-0004-0000-0D00-00000F000000}"/>
    <hyperlink ref="B20" location="'17'!A1" display="17 BOE" xr:uid="{00000000-0004-0000-0D00-000010000000}"/>
    <hyperlink ref="B21" location="'18'!A1" display="18 LNG" xr:uid="{00000000-0004-0000-0D00-000011000000}"/>
    <hyperlink ref="B22" location="'19'!A1" display="19 Emissions" xr:uid="{00000000-0004-0000-0D00-000012000000}"/>
    <hyperlink ref="B23" location="'20'!A1" display="20 SI prefixes" xr:uid="{00000000-0004-0000-0D00-000013000000}"/>
    <hyperlink ref="B24" location="'21'!A1" display="21 ISO 6974" xr:uid="{00000000-0004-0000-0D00-000014000000}"/>
    <hyperlink ref="B25" location="'22'!A1" display="22 SRK equation" xr:uid="{00000000-0004-0000-0D00-000015000000}"/>
  </hyperlink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0"/>
  <sheetViews>
    <sheetView showGridLines="0" workbookViewId="0">
      <selection activeCell="B15" sqref="B15"/>
    </sheetView>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776</v>
      </c>
      <c r="E2" s="3"/>
    </row>
    <row r="3" spans="2:15" ht="7.95" customHeight="1">
      <c r="H3" s="1"/>
      <c r="I3" s="1"/>
      <c r="J3" s="1"/>
      <c r="K3" s="1"/>
      <c r="L3" s="1"/>
      <c r="M3" s="1"/>
      <c r="N3" s="1"/>
    </row>
    <row r="4" spans="2:15" ht="22.5" customHeight="1">
      <c r="B4" s="270" t="s">
        <v>763</v>
      </c>
      <c r="J4" s="1"/>
      <c r="K4" s="1"/>
      <c r="L4" s="1"/>
      <c r="M4" s="1"/>
      <c r="N4" s="1"/>
    </row>
    <row r="5" spans="2:15" ht="22.5" customHeight="1" thickBot="1">
      <c r="B5" s="271" t="s">
        <v>764</v>
      </c>
      <c r="H5" s="1"/>
      <c r="I5" s="1"/>
      <c r="J5" s="1"/>
      <c r="K5" s="1"/>
      <c r="L5" s="1"/>
      <c r="M5" s="1"/>
      <c r="N5" s="1"/>
    </row>
    <row r="6" spans="2:15" ht="22.5" customHeight="1" thickBot="1">
      <c r="B6" s="270" t="s">
        <v>765</v>
      </c>
      <c r="D6" s="169">
        <v>35</v>
      </c>
      <c r="E6" s="168" t="s">
        <v>703</v>
      </c>
      <c r="G6" s="18"/>
      <c r="H6" s="19" t="s">
        <v>703</v>
      </c>
      <c r="I6" s="20" t="s">
        <v>704</v>
      </c>
      <c r="J6" s="20" t="s">
        <v>705</v>
      </c>
      <c r="K6" s="20" t="s">
        <v>706</v>
      </c>
      <c r="L6" s="20" t="s">
        <v>707</v>
      </c>
      <c r="M6" s="20" t="s">
        <v>708</v>
      </c>
      <c r="N6" s="20" t="s">
        <v>709</v>
      </c>
      <c r="O6" s="21" t="s">
        <v>710</v>
      </c>
    </row>
    <row r="7" spans="2:15" ht="22.5" customHeight="1">
      <c r="B7" s="271" t="s">
        <v>766</v>
      </c>
      <c r="D7" s="227">
        <f>D6*H30</f>
        <v>35</v>
      </c>
      <c r="E7" s="48" t="s">
        <v>703</v>
      </c>
      <c r="G7" s="22" t="s">
        <v>703</v>
      </c>
      <c r="H7" s="30">
        <v>1</v>
      </c>
      <c r="I7" s="236">
        <v>27.777777700000001</v>
      </c>
      <c r="J7" s="31">
        <v>29.300111099999999</v>
      </c>
      <c r="K7" s="236">
        <v>277.7777777</v>
      </c>
      <c r="L7" s="31">
        <v>2.9300111000000002</v>
      </c>
      <c r="M7" s="235">
        <v>9.7222221999999991</v>
      </c>
      <c r="N7" s="31">
        <v>275.30239999999998</v>
      </c>
      <c r="O7" s="32">
        <v>16.997222000000001</v>
      </c>
    </row>
    <row r="8" spans="2:15" ht="22.5" customHeight="1">
      <c r="B8" s="270" t="s">
        <v>767</v>
      </c>
      <c r="D8" s="227">
        <f>D6*I30</f>
        <v>972.22221950000005</v>
      </c>
      <c r="E8" s="48" t="s">
        <v>704</v>
      </c>
      <c r="G8" s="22" t="s">
        <v>704</v>
      </c>
      <c r="H8" s="189">
        <v>3.6000000100799998E-2</v>
      </c>
      <c r="I8" s="191">
        <v>1</v>
      </c>
      <c r="J8" s="192">
        <v>1.055056</v>
      </c>
      <c r="K8" s="192">
        <v>10</v>
      </c>
      <c r="L8" s="192">
        <v>0.1055056</v>
      </c>
      <c r="M8" s="192">
        <v>0.35</v>
      </c>
      <c r="N8" s="192">
        <v>9.9108870000000007</v>
      </c>
      <c r="O8" s="193">
        <v>0.6119</v>
      </c>
    </row>
    <row r="9" spans="2:15" ht="22.5" customHeight="1">
      <c r="B9" s="271" t="s">
        <v>768</v>
      </c>
      <c r="D9" s="227">
        <f>D6*J30</f>
        <v>1025.5038884999999</v>
      </c>
      <c r="E9" s="48" t="s">
        <v>705</v>
      </c>
      <c r="G9" s="22" t="s">
        <v>705</v>
      </c>
      <c r="H9" s="238">
        <f>1/J7</f>
        <v>3.4129563419983078E-2</v>
      </c>
      <c r="I9" s="237">
        <v>0.94781698791343783</v>
      </c>
      <c r="J9" s="4">
        <v>1</v>
      </c>
      <c r="K9" s="242">
        <v>9.4708629000000002</v>
      </c>
      <c r="L9" s="5">
        <v>0.1</v>
      </c>
      <c r="M9" s="5">
        <v>0.33173599999999998</v>
      </c>
      <c r="N9" s="5">
        <v>9.3937000000000008</v>
      </c>
      <c r="O9" s="23">
        <v>0.57996899999999996</v>
      </c>
    </row>
    <row r="10" spans="2:15" ht="22.5" customHeight="1">
      <c r="B10" s="270" t="s">
        <v>769</v>
      </c>
      <c r="D10" s="227">
        <f>D6*K30</f>
        <v>9722.2222194999995</v>
      </c>
      <c r="E10" s="48" t="s">
        <v>706</v>
      </c>
      <c r="G10" s="22" t="s">
        <v>706</v>
      </c>
      <c r="H10" s="35">
        <v>3.600000001008E-3</v>
      </c>
      <c r="I10" s="190">
        <v>0.1</v>
      </c>
      <c r="J10" s="190">
        <v>0.10558699989205841</v>
      </c>
      <c r="K10" s="191">
        <v>1</v>
      </c>
      <c r="L10" s="190">
        <f>1.05587/100</f>
        <v>1.0558700000000001E-2</v>
      </c>
      <c r="M10" s="192">
        <v>3.5000000000000003E-2</v>
      </c>
      <c r="N10" s="192">
        <v>0.99108799999999997</v>
      </c>
      <c r="O10" s="49">
        <v>6.1190000000000001E-2</v>
      </c>
    </row>
    <row r="11" spans="2:15" ht="22.5" customHeight="1">
      <c r="B11" s="271" t="s">
        <v>770</v>
      </c>
      <c r="D11" s="227">
        <f>D6*L30</f>
        <v>102.55038850000001</v>
      </c>
      <c r="E11" s="48" t="s">
        <v>707</v>
      </c>
      <c r="G11" s="22" t="s">
        <v>707</v>
      </c>
      <c r="H11" s="240">
        <v>0.34129563536465779</v>
      </c>
      <c r="I11" s="241">
        <v>9.4781698791343771</v>
      </c>
      <c r="J11" s="5">
        <v>10</v>
      </c>
      <c r="K11" s="241">
        <v>94.70862890317936</v>
      </c>
      <c r="L11" s="4">
        <v>1</v>
      </c>
      <c r="M11" s="5">
        <v>0.33173595</v>
      </c>
      <c r="N11" s="5">
        <v>9.3937069999999991</v>
      </c>
      <c r="O11" s="250">
        <v>0.57996899999999996</v>
      </c>
    </row>
    <row r="12" spans="2:15" ht="22.5" customHeight="1">
      <c r="B12" s="270" t="s">
        <v>771</v>
      </c>
      <c r="D12" s="227">
        <f>D6*M30</f>
        <v>340.27777699999996</v>
      </c>
      <c r="E12" s="48" t="s">
        <v>708</v>
      </c>
      <c r="G12" s="22" t="s">
        <v>708</v>
      </c>
      <c r="H12" s="243">
        <v>0.1028571430922449</v>
      </c>
      <c r="I12" s="244">
        <v>2.8571428571428572</v>
      </c>
      <c r="J12" s="194">
        <f>1/0.33173595</f>
        <v>3.0144456758455029</v>
      </c>
      <c r="K12" s="245">
        <f>10/0.35</f>
        <v>28.571428571428573</v>
      </c>
      <c r="L12" s="245">
        <f>1/0.33173595</f>
        <v>3.0144456758455029</v>
      </c>
      <c r="M12" s="195">
        <v>1</v>
      </c>
      <c r="N12" s="192">
        <v>28.31682</v>
      </c>
      <c r="O12" s="249">
        <v>1.7482857000000001</v>
      </c>
    </row>
    <row r="13" spans="2:15" ht="22.5" customHeight="1">
      <c r="B13" s="271" t="s">
        <v>772</v>
      </c>
      <c r="D13" s="227">
        <f>D6*N30</f>
        <v>9635.5839999999989</v>
      </c>
      <c r="E13" s="48" t="s">
        <v>712</v>
      </c>
      <c r="G13" s="233" t="s">
        <v>712</v>
      </c>
      <c r="H13" s="239">
        <f>1/N7</f>
        <v>3.6323693509391856E-3</v>
      </c>
      <c r="I13" s="241">
        <f>1/N8</f>
        <v>0.10089914252881704</v>
      </c>
      <c r="J13" s="246">
        <f>1/N9</f>
        <v>0.10645432577152772</v>
      </c>
      <c r="K13" s="241">
        <f>10/9.910887</f>
        <v>1.0089914252881704</v>
      </c>
      <c r="L13" s="241">
        <f>1/N9</f>
        <v>0.10645432577152772</v>
      </c>
      <c r="M13" s="246">
        <f>1/N12</f>
        <v>3.5314699885085968E-2</v>
      </c>
      <c r="N13" s="234">
        <v>1</v>
      </c>
      <c r="O13" s="247">
        <f>1/16.1969065</f>
        <v>6.1740184769233555E-2</v>
      </c>
    </row>
    <row r="14" spans="2:15" ht="22.5" customHeight="1" thickBot="1">
      <c r="B14" s="270" t="s">
        <v>773</v>
      </c>
      <c r="D14" s="227">
        <f>D6*O30</f>
        <v>594.90277000000003</v>
      </c>
      <c r="E14" s="48" t="s">
        <v>710</v>
      </c>
      <c r="G14" s="27" t="s">
        <v>710</v>
      </c>
      <c r="H14" s="251">
        <f>1/O7</f>
        <v>5.8833143439557353E-2</v>
      </c>
      <c r="I14" s="253">
        <f>1/O8</f>
        <v>1.6342539630658603</v>
      </c>
      <c r="J14" s="253">
        <f>1/O9</f>
        <v>1.7242300881598844</v>
      </c>
      <c r="K14" s="253">
        <f>1/O10</f>
        <v>16.342539630658603</v>
      </c>
      <c r="L14" s="253">
        <f>1/O11</f>
        <v>1.7242300881598844</v>
      </c>
      <c r="M14" s="254">
        <f>1/O12</f>
        <v>0.57198889174692669</v>
      </c>
      <c r="N14" s="254">
        <f>1/O13</f>
        <v>16.196906500000001</v>
      </c>
      <c r="O14" s="219">
        <v>1</v>
      </c>
    </row>
    <row r="15" spans="2:15" ht="22.5" customHeight="1">
      <c r="B15" s="271" t="s">
        <v>774</v>
      </c>
      <c r="D15" s="48"/>
      <c r="E15" s="48"/>
    </row>
    <row r="16" spans="2:15" ht="22.5" customHeight="1">
      <c r="B16" s="270" t="s">
        <v>775</v>
      </c>
      <c r="D16" s="48"/>
      <c r="E16" s="48"/>
      <c r="G16" s="46" t="s">
        <v>711</v>
      </c>
      <c r="N16" s="58"/>
    </row>
    <row r="17" spans="2:15" ht="22.5" customHeight="1">
      <c r="B17" s="271" t="s">
        <v>776</v>
      </c>
      <c r="D17" s="48"/>
      <c r="E17" s="48"/>
      <c r="G17" s="46" t="s">
        <v>699</v>
      </c>
    </row>
    <row r="18" spans="2:15" ht="22.5" customHeight="1" thickBot="1">
      <c r="B18" s="270" t="s">
        <v>777</v>
      </c>
    </row>
    <row r="19" spans="2:15" ht="22.5" customHeight="1" thickBot="1">
      <c r="B19" s="271" t="s">
        <v>778</v>
      </c>
      <c r="D19" s="169">
        <v>35</v>
      </c>
      <c r="E19" s="47" t="s">
        <v>700</v>
      </c>
      <c r="F19" s="47"/>
      <c r="G19" s="47"/>
      <c r="H19" s="228">
        <f>D19*D21*9478.17/1000000</f>
        <v>13.9329099</v>
      </c>
      <c r="I19" s="47" t="s">
        <v>701</v>
      </c>
    </row>
    <row r="20" spans="2:15" ht="22.5" customHeight="1" thickBot="1">
      <c r="B20" s="270" t="s">
        <v>779</v>
      </c>
      <c r="D20" s="227"/>
      <c r="E20" s="47"/>
      <c r="F20" s="47"/>
      <c r="G20" s="47"/>
      <c r="H20" s="47"/>
      <c r="I20" s="47"/>
    </row>
    <row r="21" spans="2:15" ht="22.5" customHeight="1" thickBot="1">
      <c r="B21" s="271" t="s">
        <v>780</v>
      </c>
      <c r="D21" s="169">
        <v>42</v>
      </c>
      <c r="E21" s="272" t="s">
        <v>680</v>
      </c>
      <c r="F21" s="47"/>
      <c r="G21" s="47"/>
      <c r="H21" s="228">
        <f>H19*1000/35.3147</f>
        <v>394.53570043069885</v>
      </c>
      <c r="I21" s="47" t="s">
        <v>702</v>
      </c>
    </row>
    <row r="22" spans="2:15" ht="22.5" customHeight="1">
      <c r="B22" s="270" t="s">
        <v>781</v>
      </c>
      <c r="D22" s="48"/>
      <c r="E22" s="48"/>
    </row>
    <row r="23" spans="2:15" ht="22.5" customHeight="1">
      <c r="B23" s="271" t="s">
        <v>782</v>
      </c>
      <c r="G23" s="176"/>
      <c r="I23" s="252"/>
      <c r="J23" s="252"/>
      <c r="K23" s="252"/>
      <c r="L23" s="252"/>
      <c r="M23" s="252"/>
      <c r="N23" s="252"/>
      <c r="O23" s="252"/>
    </row>
    <row r="24" spans="2:15" ht="22.5" customHeight="1">
      <c r="B24" s="270" t="s">
        <v>783</v>
      </c>
      <c r="G24" s="46" t="s">
        <v>713</v>
      </c>
      <c r="I24" s="252"/>
      <c r="J24" s="252"/>
      <c r="K24" s="252"/>
      <c r="L24" s="252"/>
      <c r="M24" s="252"/>
      <c r="N24" s="252"/>
      <c r="O24" s="252"/>
    </row>
    <row r="25" spans="2:15" ht="22.5" customHeight="1">
      <c r="B25" s="271" t="s">
        <v>784</v>
      </c>
      <c r="G25" s="46" t="s">
        <v>714</v>
      </c>
      <c r="I25" s="252"/>
      <c r="J25" s="252"/>
      <c r="K25" s="252"/>
      <c r="L25" s="252"/>
      <c r="M25" s="252"/>
      <c r="N25" s="252"/>
      <c r="O25" s="252"/>
    </row>
    <row r="26" spans="2:15" ht="22.5" customHeight="1">
      <c r="G26" s="46" t="s">
        <v>715</v>
      </c>
      <c r="I26" s="252"/>
      <c r="J26" s="252"/>
      <c r="K26" s="252"/>
      <c r="L26" s="252"/>
      <c r="M26" s="252"/>
      <c r="N26" s="252"/>
      <c r="O26" s="252"/>
    </row>
    <row r="27" spans="2:15" ht="22.5" customHeight="1">
      <c r="G27" s="46" t="s">
        <v>799</v>
      </c>
      <c r="I27" s="252"/>
      <c r="J27" s="252"/>
      <c r="K27" s="252"/>
      <c r="L27" s="252"/>
      <c r="M27" s="252"/>
      <c r="N27" s="252"/>
      <c r="O27" s="252"/>
    </row>
    <row r="29" spans="2:15" hidden="1">
      <c r="H29" s="40">
        <v>2</v>
      </c>
      <c r="I29" s="41">
        <v>3</v>
      </c>
      <c r="J29" s="41">
        <v>4</v>
      </c>
      <c r="K29" s="41">
        <v>5</v>
      </c>
      <c r="L29" s="41">
        <v>6</v>
      </c>
      <c r="M29" s="41">
        <v>7</v>
      </c>
      <c r="N29" s="41">
        <v>8</v>
      </c>
      <c r="O29" s="42">
        <v>9</v>
      </c>
    </row>
    <row r="30" spans="2:15" ht="15" hidden="1" thickBot="1">
      <c r="H30" s="43">
        <f>VLOOKUP($E$6,$G$7:$O$14,H29,FALSE)</f>
        <v>1</v>
      </c>
      <c r="I30" s="44">
        <f t="shared" ref="I30:O30" si="0">VLOOKUP($E$6,$G$7:$O$14,I29,FALSE)</f>
        <v>27.777777700000001</v>
      </c>
      <c r="J30" s="44">
        <f t="shared" si="0"/>
        <v>29.300111099999999</v>
      </c>
      <c r="K30" s="44">
        <f t="shared" si="0"/>
        <v>277.7777777</v>
      </c>
      <c r="L30" s="44">
        <f t="shared" si="0"/>
        <v>2.9300111000000002</v>
      </c>
      <c r="M30" s="44">
        <f t="shared" si="0"/>
        <v>9.7222221999999991</v>
      </c>
      <c r="N30" s="44">
        <f t="shared" si="0"/>
        <v>275.30239999999998</v>
      </c>
      <c r="O30" s="45">
        <f t="shared" si="0"/>
        <v>16.997222000000001</v>
      </c>
    </row>
  </sheetData>
  <dataValidations count="1">
    <dataValidation type="list" allowBlank="1" showInputMessage="1" showErrorMessage="1" sqref="E6" xr:uid="{00000000-0002-0000-0E00-000000000000}">
      <formula1>E7:E14</formula1>
    </dataValidation>
  </dataValidations>
  <hyperlinks>
    <hyperlink ref="B4" location="'01'!A1" display="01 Length" xr:uid="{00000000-0004-0000-0E00-000000000000}"/>
    <hyperlink ref="B5" location="'02'!A1" display="02 Area (small)" xr:uid="{00000000-0004-0000-0E00-000001000000}"/>
    <hyperlink ref="B6" location="'03'!A1" display="03 Area (large)" xr:uid="{00000000-0004-0000-0E00-000002000000}"/>
    <hyperlink ref="B7" location="'04'!A1" display="04 Volume" xr:uid="{00000000-0004-0000-0E00-000003000000}"/>
    <hyperlink ref="B8" location="'05'!A1" display="05 Velocity" xr:uid="{00000000-0004-0000-0E00-000004000000}"/>
    <hyperlink ref="B9" location="'06'!A1" display="06 Volume flow" xr:uid="{00000000-0004-0000-0E00-000005000000}"/>
    <hyperlink ref="B10" location="'07'!A1" display="07 Mass" xr:uid="{00000000-0004-0000-0E00-000006000000}"/>
    <hyperlink ref="B11" location="'08'!A1" display="08 Density" xr:uid="{00000000-0004-0000-0E00-000007000000}"/>
    <hyperlink ref="B12" location="'09'!A1" display="09 Mass flow" xr:uid="{00000000-0004-0000-0E00-000008000000}"/>
    <hyperlink ref="B13" location="'10'!A1" display="10 Force" xr:uid="{00000000-0004-0000-0E00-000009000000}"/>
    <hyperlink ref="B14" location="'11'!A1" display="11 Pressure" xr:uid="{00000000-0004-0000-0E00-00000A000000}"/>
    <hyperlink ref="B15" location="'12'!A1" display="12 Energy" xr:uid="{00000000-0004-0000-0E00-00000B000000}"/>
    <hyperlink ref="B16" location="'13'!A1" display="13 Calorific value" xr:uid="{00000000-0004-0000-0E00-00000C000000}"/>
    <hyperlink ref="B17" location="'14'!A1" display="14 Gas price" xr:uid="{00000000-0004-0000-0E00-00000D000000}"/>
    <hyperlink ref="B18" location="'15'!A1" display="15 Temperature" xr:uid="{00000000-0004-0000-0E00-00000E000000}"/>
    <hyperlink ref="B19" location="'16'!A1" display="16 API gravity" xr:uid="{00000000-0004-0000-0E00-00000F000000}"/>
    <hyperlink ref="B20" location="'17'!A1" display="17 BOE" xr:uid="{00000000-0004-0000-0E00-000010000000}"/>
    <hyperlink ref="B21" location="'18'!A1" display="18 LNG" xr:uid="{00000000-0004-0000-0E00-000011000000}"/>
    <hyperlink ref="B22" location="'19'!A1" display="19 Emissions" xr:uid="{00000000-0004-0000-0E00-000012000000}"/>
    <hyperlink ref="B23" location="'20'!A1" display="20 SI prefixes" xr:uid="{00000000-0004-0000-0E00-000013000000}"/>
    <hyperlink ref="B24" location="'21'!A1" display="21 ISO 6974" xr:uid="{00000000-0004-0000-0E00-000014000000}"/>
    <hyperlink ref="B25" location="'22'!A1" display="22 SRK equation" xr:uid="{00000000-0004-0000-0E00-000015000000}"/>
  </hyperlinks>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56"/>
  <sheetViews>
    <sheetView showGridLines="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777</v>
      </c>
      <c r="E2" s="3"/>
    </row>
    <row r="3" spans="2:15" ht="7.95" customHeight="1">
      <c r="H3" s="1"/>
      <c r="I3" s="1"/>
      <c r="J3" s="1"/>
      <c r="K3" s="1"/>
      <c r="L3" s="1"/>
      <c r="M3" s="1"/>
      <c r="N3" s="1"/>
      <c r="O3" s="1"/>
    </row>
    <row r="4" spans="2:15" ht="22.5" customHeight="1">
      <c r="B4" s="270" t="s">
        <v>763</v>
      </c>
      <c r="H4" s="1"/>
      <c r="I4" s="1"/>
      <c r="J4" s="1"/>
      <c r="K4" s="1"/>
      <c r="L4" s="1"/>
      <c r="M4" s="1"/>
      <c r="N4" s="1"/>
      <c r="O4" s="1"/>
    </row>
    <row r="5" spans="2:15" ht="22.5" customHeight="1" thickBot="1">
      <c r="B5" s="271" t="s">
        <v>764</v>
      </c>
      <c r="H5" s="1"/>
      <c r="I5" s="1"/>
      <c r="J5" s="1"/>
      <c r="K5" s="1"/>
      <c r="L5" s="1"/>
      <c r="M5" s="1"/>
      <c r="N5" s="1"/>
      <c r="O5" s="1"/>
    </row>
    <row r="6" spans="2:15" ht="22.5" customHeight="1" thickBot="1">
      <c r="B6" s="270" t="s">
        <v>765</v>
      </c>
      <c r="D6" s="169">
        <v>280</v>
      </c>
      <c r="E6" s="168" t="s">
        <v>540</v>
      </c>
      <c r="G6" s="18"/>
      <c r="H6" s="308" t="s">
        <v>536</v>
      </c>
      <c r="I6" s="308"/>
      <c r="J6" s="309" t="s">
        <v>537</v>
      </c>
      <c r="K6" s="309"/>
      <c r="L6" s="309" t="s">
        <v>538</v>
      </c>
      <c r="M6" s="309"/>
      <c r="N6" s="309" t="s">
        <v>543</v>
      </c>
      <c r="O6" s="310"/>
    </row>
    <row r="7" spans="2:15" ht="22.5" customHeight="1">
      <c r="B7" s="271" t="s">
        <v>766</v>
      </c>
      <c r="D7" s="48">
        <f>VLOOKUP(E6,G53:K56,2,FALSE)</f>
        <v>6.8500000000000227</v>
      </c>
      <c r="E7" s="48" t="s">
        <v>316</v>
      </c>
      <c r="G7" s="311" t="s">
        <v>316</v>
      </c>
      <c r="H7" s="319">
        <v>1</v>
      </c>
      <c r="I7" s="320"/>
      <c r="J7" s="313" t="s">
        <v>553</v>
      </c>
      <c r="K7" s="313"/>
      <c r="L7" s="313" t="s">
        <v>542</v>
      </c>
      <c r="M7" s="313"/>
      <c r="N7" s="313" t="s">
        <v>547</v>
      </c>
      <c r="O7" s="322"/>
    </row>
    <row r="8" spans="2:15" ht="22.5" customHeight="1">
      <c r="B8" s="270" t="s">
        <v>767</v>
      </c>
      <c r="D8" s="48">
        <f>VLOOKUP(E6,G53:K56,3,FALSE)</f>
        <v>44.329999999999984</v>
      </c>
      <c r="E8" s="48" t="s">
        <v>539</v>
      </c>
      <c r="G8" s="311"/>
      <c r="H8" s="321"/>
      <c r="I8" s="300"/>
      <c r="J8" s="297"/>
      <c r="K8" s="297"/>
      <c r="L8" s="297"/>
      <c r="M8" s="297"/>
      <c r="N8" s="297"/>
      <c r="O8" s="303"/>
    </row>
    <row r="9" spans="2:15" ht="22.5" customHeight="1">
      <c r="B9" s="271" t="s">
        <v>768</v>
      </c>
      <c r="D9" s="48">
        <f>VLOOKUP(E6,G53:K56,4,FALSE)</f>
        <v>1</v>
      </c>
      <c r="E9" s="48" t="s">
        <v>540</v>
      </c>
      <c r="G9" s="311" t="s">
        <v>539</v>
      </c>
      <c r="H9" s="318" t="s">
        <v>546</v>
      </c>
      <c r="I9" s="301"/>
      <c r="J9" s="323">
        <v>1</v>
      </c>
      <c r="K9" s="323"/>
      <c r="L9" s="295" t="s">
        <v>550</v>
      </c>
      <c r="M9" s="295"/>
      <c r="N9" s="295" t="s">
        <v>551</v>
      </c>
      <c r="O9" s="296"/>
    </row>
    <row r="10" spans="2:15" ht="22.5" customHeight="1">
      <c r="B10" s="270" t="s">
        <v>769</v>
      </c>
      <c r="D10" s="48">
        <f>VLOOKUP(E6,G53:K56,5,FALSE)</f>
        <v>504</v>
      </c>
      <c r="E10" s="48" t="s">
        <v>544</v>
      </c>
      <c r="G10" s="311"/>
      <c r="H10" s="318"/>
      <c r="I10" s="301"/>
      <c r="J10" s="323"/>
      <c r="K10" s="323"/>
      <c r="L10" s="295"/>
      <c r="M10" s="295"/>
      <c r="N10" s="295"/>
      <c r="O10" s="296"/>
    </row>
    <row r="11" spans="2:15" ht="22.5" customHeight="1">
      <c r="B11" s="271" t="s">
        <v>770</v>
      </c>
      <c r="D11" s="48"/>
      <c r="E11" s="48"/>
      <c r="G11" s="311" t="s">
        <v>540</v>
      </c>
      <c r="H11" s="314" t="s">
        <v>541</v>
      </c>
      <c r="I11" s="297"/>
      <c r="J11" s="297" t="s">
        <v>552</v>
      </c>
      <c r="K11" s="297"/>
      <c r="L11" s="300">
        <v>1</v>
      </c>
      <c r="M11" s="300"/>
      <c r="N11" s="297" t="s">
        <v>554</v>
      </c>
      <c r="O11" s="303"/>
    </row>
    <row r="12" spans="2:15" ht="22.5" customHeight="1">
      <c r="B12" s="270" t="s">
        <v>771</v>
      </c>
      <c r="D12" s="48"/>
      <c r="E12" s="48"/>
      <c r="G12" s="311"/>
      <c r="H12" s="314"/>
      <c r="I12" s="297"/>
      <c r="J12" s="297"/>
      <c r="K12" s="297"/>
      <c r="L12" s="300"/>
      <c r="M12" s="300"/>
      <c r="N12" s="297"/>
      <c r="O12" s="303"/>
    </row>
    <row r="13" spans="2:15" ht="22.5" customHeight="1">
      <c r="B13" s="271" t="s">
        <v>772</v>
      </c>
      <c r="D13" s="48"/>
      <c r="E13" s="48"/>
      <c r="G13" s="311" t="s">
        <v>544</v>
      </c>
      <c r="H13" s="315" t="s">
        <v>545</v>
      </c>
      <c r="I13" s="295"/>
      <c r="J13" s="298" t="s">
        <v>549</v>
      </c>
      <c r="K13" s="298"/>
      <c r="L13" s="301" t="s">
        <v>548</v>
      </c>
      <c r="M13" s="301"/>
      <c r="N13" s="304">
        <v>1</v>
      </c>
      <c r="O13" s="305"/>
    </row>
    <row r="14" spans="2:15" ht="22.5" customHeight="1" thickBot="1">
      <c r="B14" s="270" t="s">
        <v>773</v>
      </c>
      <c r="D14" s="48"/>
      <c r="E14" s="48"/>
      <c r="G14" s="312"/>
      <c r="H14" s="316"/>
      <c r="I14" s="317"/>
      <c r="J14" s="299"/>
      <c r="K14" s="299"/>
      <c r="L14" s="302"/>
      <c r="M14" s="302"/>
      <c r="N14" s="306"/>
      <c r="O14" s="307"/>
    </row>
    <row r="15" spans="2:15" ht="22.5" customHeight="1">
      <c r="B15" s="271" t="s">
        <v>774</v>
      </c>
      <c r="D15" s="48"/>
      <c r="E15" s="48"/>
      <c r="G15" s="46"/>
    </row>
    <row r="16" spans="2:15" ht="22.5" customHeight="1">
      <c r="B16" s="270" t="s">
        <v>775</v>
      </c>
      <c r="D16" s="48"/>
      <c r="E16" s="48"/>
      <c r="G16" s="46"/>
      <c r="O16" s="58"/>
    </row>
    <row r="17" spans="2:7" ht="22.5" customHeight="1">
      <c r="B17" s="271" t="s">
        <v>776</v>
      </c>
      <c r="D17" s="48"/>
      <c r="E17" s="48"/>
    </row>
    <row r="18" spans="2:7" ht="22.5" customHeight="1">
      <c r="B18" s="270" t="s">
        <v>777</v>
      </c>
    </row>
    <row r="19" spans="2:7" ht="22.5" customHeight="1">
      <c r="B19" s="271" t="s">
        <v>778</v>
      </c>
    </row>
    <row r="20" spans="2:7" ht="22.5" customHeight="1">
      <c r="B20" s="270" t="s">
        <v>779</v>
      </c>
    </row>
    <row r="21" spans="2:7" ht="22.5" customHeight="1">
      <c r="B21" s="271" t="s">
        <v>780</v>
      </c>
    </row>
    <row r="22" spans="2:7" ht="22.5" customHeight="1">
      <c r="B22" s="270" t="s">
        <v>781</v>
      </c>
    </row>
    <row r="23" spans="2:7" ht="22.5" customHeight="1">
      <c r="B23" s="271" t="s">
        <v>782</v>
      </c>
      <c r="G23" s="176"/>
    </row>
    <row r="24" spans="2:7" ht="22.5" customHeight="1">
      <c r="B24" s="270" t="s">
        <v>783</v>
      </c>
    </row>
    <row r="25" spans="2:7" ht="22.5" customHeight="1">
      <c r="B25" s="271" t="s">
        <v>784</v>
      </c>
    </row>
    <row r="26" spans="2:7" ht="22.5" customHeight="1"/>
    <row r="27" spans="2:7" ht="22.5" customHeight="1"/>
    <row r="50" spans="7:15" hidden="1">
      <c r="H50" s="40">
        <v>2</v>
      </c>
      <c r="I50" s="41">
        <v>3</v>
      </c>
      <c r="J50" s="41">
        <v>4</v>
      </c>
      <c r="K50" s="41">
        <v>5</v>
      </c>
      <c r="L50" s="41">
        <v>6</v>
      </c>
      <c r="M50" s="41"/>
      <c r="N50" s="41">
        <v>7</v>
      </c>
      <c r="O50" s="41">
        <v>8</v>
      </c>
    </row>
    <row r="51" spans="7:15" ht="15" hidden="1" thickBot="1">
      <c r="H51" s="43" t="str">
        <f>VLOOKUP($E$6,$G$7:$O$13,H50,FALSE)</f>
        <v>C = K – 273.15</v>
      </c>
      <c r="I51" s="44">
        <f>VLOOKUP($E$6,$G$7:$O$13,I50,FALSE)</f>
        <v>0</v>
      </c>
      <c r="J51" s="44" t="str">
        <f>VLOOKUP($E$6,$G$7:$O$13,J50,FALSE)</f>
        <v>°F = ( K × 9 ⁄ 5 ) − 459.67</v>
      </c>
      <c r="K51" s="44">
        <f>VLOOKUP($E$6,$G$7:$O$13,K50,FALSE)</f>
        <v>0</v>
      </c>
      <c r="L51" s="44">
        <f>VLOOKUP($E$6,$G$7:$O$13,L50,FALSE)</f>
        <v>1</v>
      </c>
      <c r="M51" s="44"/>
      <c r="N51" s="44">
        <f>VLOOKUP($E$6,$G$7:$O$13,N50,FALSE)</f>
        <v>0</v>
      </c>
      <c r="O51" s="44" t="str">
        <f>VLOOKUP($E$6,$G$7:$O$13,O50,FALSE)</f>
        <v>°R = K × 9 ⁄ 5</v>
      </c>
    </row>
    <row r="52" spans="7:15" ht="15" hidden="1" thickBot="1">
      <c r="G52" s="46"/>
      <c r="H52" s="177" t="s">
        <v>536</v>
      </c>
      <c r="I52" s="178" t="s">
        <v>537</v>
      </c>
      <c r="J52" s="178" t="s">
        <v>538</v>
      </c>
      <c r="K52" s="179" t="s">
        <v>543</v>
      </c>
    </row>
    <row r="53" spans="7:15" hidden="1">
      <c r="G53" s="186" t="s">
        <v>316</v>
      </c>
      <c r="H53" s="177">
        <v>1</v>
      </c>
      <c r="I53" s="178">
        <f>(D6*9/5)+32</f>
        <v>536</v>
      </c>
      <c r="J53" s="178">
        <f>H53+273.15</f>
        <v>274.14999999999998</v>
      </c>
      <c r="K53" s="179">
        <f>(D6+273.15)*9/5</f>
        <v>995.66999999999985</v>
      </c>
    </row>
    <row r="54" spans="7:15" hidden="1">
      <c r="G54" s="187" t="s">
        <v>539</v>
      </c>
      <c r="H54" s="184">
        <f>(D6-32)*5/9</f>
        <v>137.77777777777777</v>
      </c>
      <c r="I54" s="180">
        <v>1</v>
      </c>
      <c r="J54" s="180">
        <f>(D6+459.67)*5/9</f>
        <v>410.92777777777781</v>
      </c>
      <c r="K54" s="181">
        <f>D6+459.67</f>
        <v>739.67000000000007</v>
      </c>
    </row>
    <row r="55" spans="7:15" hidden="1">
      <c r="G55" s="187" t="s">
        <v>540</v>
      </c>
      <c r="H55" s="184">
        <f>D6-273.15</f>
        <v>6.8500000000000227</v>
      </c>
      <c r="I55" s="180">
        <f>(D6*9/5)-459.67</f>
        <v>44.329999999999984</v>
      </c>
      <c r="J55" s="180">
        <v>1</v>
      </c>
      <c r="K55" s="181">
        <f>D6*9/5</f>
        <v>504</v>
      </c>
    </row>
    <row r="56" spans="7:15" ht="15" hidden="1" thickBot="1">
      <c r="G56" s="188" t="s">
        <v>544</v>
      </c>
      <c r="H56" s="185">
        <f>(D6-491.67)*5/9</f>
        <v>-117.59444444444446</v>
      </c>
      <c r="I56" s="182">
        <f>D6-459.67</f>
        <v>-179.67000000000002</v>
      </c>
      <c r="J56" s="182">
        <f>D6*5/9</f>
        <v>155.55555555555554</v>
      </c>
      <c r="K56" s="183">
        <v>1</v>
      </c>
    </row>
  </sheetData>
  <mergeCells count="24">
    <mergeCell ref="H6:I6"/>
    <mergeCell ref="J6:K6"/>
    <mergeCell ref="L6:M6"/>
    <mergeCell ref="N6:O6"/>
    <mergeCell ref="G13:G14"/>
    <mergeCell ref="G11:G12"/>
    <mergeCell ref="G9:G10"/>
    <mergeCell ref="G7:G8"/>
    <mergeCell ref="L7:M8"/>
    <mergeCell ref="H11:I12"/>
    <mergeCell ref="H13:I14"/>
    <mergeCell ref="H9:I10"/>
    <mergeCell ref="H7:I8"/>
    <mergeCell ref="J7:K8"/>
    <mergeCell ref="N7:O8"/>
    <mergeCell ref="J9:K10"/>
    <mergeCell ref="L9:M10"/>
    <mergeCell ref="N9:O10"/>
    <mergeCell ref="J11:K12"/>
    <mergeCell ref="J13:K14"/>
    <mergeCell ref="L11:M12"/>
    <mergeCell ref="L13:M14"/>
    <mergeCell ref="N11:O12"/>
    <mergeCell ref="N13:O14"/>
  </mergeCells>
  <dataValidations disablePrompts="1" count="1">
    <dataValidation type="list" allowBlank="1" showInputMessage="1" showErrorMessage="1" sqref="E6" xr:uid="{00000000-0002-0000-0F00-000000000000}">
      <formula1>E7:E10</formula1>
    </dataValidation>
  </dataValidations>
  <hyperlinks>
    <hyperlink ref="B4" location="'01'!A1" display="01 Length" xr:uid="{00000000-0004-0000-0F00-000000000000}"/>
    <hyperlink ref="B5" location="'02'!A1" display="02 Area (small)" xr:uid="{00000000-0004-0000-0F00-000001000000}"/>
    <hyperlink ref="B6" location="'03'!A1" display="03 Area (large)" xr:uid="{00000000-0004-0000-0F00-000002000000}"/>
    <hyperlink ref="B7" location="'04'!A1" display="04 Volume" xr:uid="{00000000-0004-0000-0F00-000003000000}"/>
    <hyperlink ref="B8" location="'05'!A1" display="05 Velocity" xr:uid="{00000000-0004-0000-0F00-000004000000}"/>
    <hyperlink ref="B9" location="'06'!A1" display="06 Volume flow" xr:uid="{00000000-0004-0000-0F00-000005000000}"/>
    <hyperlink ref="B10" location="'07'!A1" display="07 Mass" xr:uid="{00000000-0004-0000-0F00-000006000000}"/>
    <hyperlink ref="B11" location="'08'!A1" display="08 Density" xr:uid="{00000000-0004-0000-0F00-000007000000}"/>
    <hyperlink ref="B12" location="'09'!A1" display="09 Mass flow" xr:uid="{00000000-0004-0000-0F00-000008000000}"/>
    <hyperlink ref="B13" location="'10'!A1" display="10 Force" xr:uid="{00000000-0004-0000-0F00-000009000000}"/>
    <hyperlink ref="B14" location="'11'!A1" display="11 Pressure" xr:uid="{00000000-0004-0000-0F00-00000A000000}"/>
    <hyperlink ref="B15" location="'12'!A1" display="12 Energy" xr:uid="{00000000-0004-0000-0F00-00000B000000}"/>
    <hyperlink ref="B16" location="'13'!A1" display="13 Calorific value" xr:uid="{00000000-0004-0000-0F00-00000C000000}"/>
    <hyperlink ref="B17" location="'14'!A1" display="14 Gas price" xr:uid="{00000000-0004-0000-0F00-00000D000000}"/>
    <hyperlink ref="B18" location="'15'!A1" display="15 Temperature" xr:uid="{00000000-0004-0000-0F00-00000E000000}"/>
    <hyperlink ref="B19" location="'16'!A1" display="16 API gravity" xr:uid="{00000000-0004-0000-0F00-00000F000000}"/>
    <hyperlink ref="B20" location="'17'!A1" display="17 BOE" xr:uid="{00000000-0004-0000-0F00-000010000000}"/>
    <hyperlink ref="B21" location="'18'!A1" display="18 LNG" xr:uid="{00000000-0004-0000-0F00-000011000000}"/>
    <hyperlink ref="B22" location="'19'!A1" display="19 Emissions" xr:uid="{00000000-0004-0000-0F00-000012000000}"/>
    <hyperlink ref="B23" location="'20'!A1" display="20 SI prefixes" xr:uid="{00000000-0004-0000-0F00-000013000000}"/>
    <hyperlink ref="B24" location="'21'!A1" display="21 ISO 6974" xr:uid="{00000000-0004-0000-0F00-000014000000}"/>
    <hyperlink ref="B25" location="'22'!A1" display="22 SRK equation" xr:uid="{00000000-0004-0000-0F00-000015000000}"/>
  </hyperlinks>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O61"/>
  <sheetViews>
    <sheetView showGridLines="0" zoomScaleNormal="10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778</v>
      </c>
      <c r="E2" s="3"/>
    </row>
    <row r="3" spans="2:15" ht="7.95" customHeight="1">
      <c r="H3" s="1"/>
      <c r="I3" s="1"/>
      <c r="J3" s="1"/>
      <c r="K3" s="1"/>
      <c r="L3" s="1"/>
      <c r="M3" s="1"/>
      <c r="N3" s="1"/>
      <c r="O3" s="1"/>
    </row>
    <row r="4" spans="2:15" ht="22.5" customHeight="1">
      <c r="B4" s="270" t="s">
        <v>763</v>
      </c>
      <c r="H4" s="1"/>
      <c r="I4" s="1"/>
      <c r="J4" s="1"/>
      <c r="K4" s="1"/>
      <c r="L4" s="1"/>
      <c r="M4" s="1"/>
      <c r="N4" s="1"/>
      <c r="O4" s="1"/>
    </row>
    <row r="5" spans="2:15" ht="22.5" customHeight="1" thickBot="1">
      <c r="B5" s="271" t="s">
        <v>764</v>
      </c>
      <c r="H5" s="1"/>
      <c r="I5" s="1"/>
      <c r="J5" s="1"/>
      <c r="K5" s="1"/>
      <c r="L5" s="1"/>
      <c r="M5" s="1"/>
      <c r="N5" s="1"/>
      <c r="O5" s="1"/>
    </row>
    <row r="6" spans="2:15" ht="22.5" customHeight="1" thickBot="1">
      <c r="B6" s="270" t="s">
        <v>765</v>
      </c>
      <c r="D6" s="169">
        <v>7</v>
      </c>
      <c r="E6" s="168" t="s">
        <v>616</v>
      </c>
      <c r="G6" s="18"/>
      <c r="H6" s="308" t="s">
        <v>603</v>
      </c>
      <c r="I6" s="308"/>
      <c r="J6" s="309" t="s">
        <v>604</v>
      </c>
      <c r="K6" s="309"/>
      <c r="L6" s="309" t="s">
        <v>605</v>
      </c>
      <c r="M6" s="309"/>
      <c r="N6" s="309" t="s">
        <v>606</v>
      </c>
      <c r="O6" s="310"/>
    </row>
    <row r="7" spans="2:15" ht="22.5" customHeight="1">
      <c r="B7" s="271" t="s">
        <v>766</v>
      </c>
      <c r="D7" s="227">
        <f>VLOOKUP(E6,F58:J61,2,FALSE)</f>
        <v>25.989499999999992</v>
      </c>
      <c r="E7" s="48" t="s">
        <v>603</v>
      </c>
      <c r="G7" s="311" t="s">
        <v>603</v>
      </c>
      <c r="H7" s="319">
        <v>1</v>
      </c>
      <c r="I7" s="320"/>
      <c r="J7" s="313" t="s">
        <v>614</v>
      </c>
      <c r="K7" s="313"/>
      <c r="L7" s="313" t="s">
        <v>618</v>
      </c>
      <c r="M7" s="313"/>
      <c r="N7" s="313" t="s">
        <v>637</v>
      </c>
      <c r="O7" s="322"/>
    </row>
    <row r="8" spans="2:15" ht="22.5" customHeight="1">
      <c r="B8" s="270" t="s">
        <v>767</v>
      </c>
      <c r="D8" s="226">
        <f>VLOOKUP(E6,F58:J61,3,FALSE)</f>
        <v>0.89847259658580414</v>
      </c>
      <c r="E8" s="48" t="s">
        <v>610</v>
      </c>
      <c r="G8" s="311"/>
      <c r="H8" s="321"/>
      <c r="I8" s="300"/>
      <c r="J8" s="297"/>
      <c r="K8" s="297"/>
      <c r="L8" s="297"/>
      <c r="M8" s="297"/>
      <c r="N8" s="297"/>
      <c r="O8" s="303"/>
    </row>
    <row r="9" spans="2:15" ht="22.5" customHeight="1">
      <c r="B9" s="271" t="s">
        <v>768</v>
      </c>
      <c r="D9" s="48">
        <f>VLOOKUP(E6,F58:J61,4,FALSE)</f>
        <v>897.57412398921838</v>
      </c>
      <c r="E9" s="48" t="s">
        <v>609</v>
      </c>
      <c r="G9" s="311" t="s">
        <v>610</v>
      </c>
      <c r="H9" s="318" t="s">
        <v>613</v>
      </c>
      <c r="I9" s="301"/>
      <c r="J9" s="323">
        <v>1</v>
      </c>
      <c r="K9" s="323"/>
      <c r="L9" s="295" t="s">
        <v>619</v>
      </c>
      <c r="M9" s="295"/>
      <c r="N9" s="295" t="s">
        <v>615</v>
      </c>
      <c r="O9" s="296"/>
    </row>
    <row r="10" spans="2:15" ht="22.5" customHeight="1">
      <c r="B10" s="270" t="s">
        <v>769</v>
      </c>
      <c r="D10" s="225">
        <f>VLOOKUP(E6,F58:J61,5,FALSE)</f>
        <v>7</v>
      </c>
      <c r="E10" s="48" t="s">
        <v>616</v>
      </c>
      <c r="G10" s="311"/>
      <c r="H10" s="318"/>
      <c r="I10" s="301"/>
      <c r="J10" s="323"/>
      <c r="K10" s="323"/>
      <c r="L10" s="295"/>
      <c r="M10" s="295"/>
      <c r="N10" s="295"/>
      <c r="O10" s="296"/>
    </row>
    <row r="11" spans="2:15" ht="22.5" customHeight="1">
      <c r="B11" s="271" t="s">
        <v>770</v>
      </c>
      <c r="D11" s="48"/>
      <c r="E11" s="48"/>
      <c r="G11" s="324" t="s">
        <v>609</v>
      </c>
      <c r="H11" s="314" t="s">
        <v>645</v>
      </c>
      <c r="I11" s="297"/>
      <c r="J11" s="297" t="s">
        <v>633</v>
      </c>
      <c r="K11" s="297"/>
      <c r="L11" s="300">
        <v>1</v>
      </c>
      <c r="M11" s="300"/>
      <c r="N11" s="297" t="s">
        <v>636</v>
      </c>
      <c r="O11" s="303"/>
    </row>
    <row r="12" spans="2:15" ht="22.5" customHeight="1">
      <c r="B12" s="270" t="s">
        <v>771</v>
      </c>
      <c r="D12" s="48"/>
      <c r="E12" s="48"/>
      <c r="G12" s="311"/>
      <c r="H12" s="314"/>
      <c r="I12" s="297"/>
      <c r="J12" s="297"/>
      <c r="K12" s="297"/>
      <c r="L12" s="300"/>
      <c r="M12" s="300"/>
      <c r="N12" s="297"/>
      <c r="O12" s="303"/>
    </row>
    <row r="13" spans="2:15" ht="22.5" customHeight="1">
      <c r="B13" s="271" t="s">
        <v>772</v>
      </c>
      <c r="D13" s="48"/>
      <c r="E13" s="48"/>
      <c r="G13" s="311" t="s">
        <v>616</v>
      </c>
      <c r="H13" s="315" t="s">
        <v>638</v>
      </c>
      <c r="I13" s="295"/>
      <c r="J13" s="298" t="s">
        <v>617</v>
      </c>
      <c r="K13" s="298"/>
      <c r="L13" s="325" t="s">
        <v>635</v>
      </c>
      <c r="M13" s="298"/>
      <c r="N13" s="304">
        <v>1</v>
      </c>
      <c r="O13" s="305"/>
    </row>
    <row r="14" spans="2:15" ht="22.5" customHeight="1" thickBot="1">
      <c r="B14" s="270" t="s">
        <v>773</v>
      </c>
      <c r="D14" s="48"/>
      <c r="E14" s="48"/>
      <c r="G14" s="312"/>
      <c r="H14" s="316"/>
      <c r="I14" s="317"/>
      <c r="J14" s="299"/>
      <c r="K14" s="299"/>
      <c r="L14" s="299"/>
      <c r="M14" s="299"/>
      <c r="N14" s="306"/>
      <c r="O14" s="307"/>
    </row>
    <row r="15" spans="2:15" ht="22.5" customHeight="1" thickBot="1">
      <c r="B15" s="271" t="s">
        <v>774</v>
      </c>
      <c r="D15" s="48"/>
      <c r="E15" s="48"/>
      <c r="G15" s="46"/>
    </row>
    <row r="16" spans="2:15" ht="22.5" customHeight="1" thickBot="1">
      <c r="B16" s="270" t="s">
        <v>775</v>
      </c>
      <c r="D16" s="48"/>
      <c r="E16" s="48"/>
      <c r="L16" s="46"/>
      <c r="M16" s="46"/>
      <c r="N16" s="212" t="s">
        <v>603</v>
      </c>
      <c r="O16" s="213" t="s">
        <v>358</v>
      </c>
    </row>
    <row r="17" spans="2:15" ht="22.5" customHeight="1">
      <c r="B17" s="271" t="s">
        <v>776</v>
      </c>
      <c r="D17" s="48"/>
      <c r="E17" s="48"/>
      <c r="G17" s="46" t="s">
        <v>611</v>
      </c>
      <c r="L17" s="206" t="s">
        <v>621</v>
      </c>
      <c r="M17" s="207"/>
      <c r="N17" s="212" t="s">
        <v>629</v>
      </c>
      <c r="O17" s="213" t="s">
        <v>625</v>
      </c>
    </row>
    <row r="18" spans="2:15" ht="22.5" customHeight="1">
      <c r="B18" s="270" t="s">
        <v>777</v>
      </c>
      <c r="G18" s="46" t="s">
        <v>608</v>
      </c>
      <c r="L18" s="208" t="s">
        <v>622</v>
      </c>
      <c r="M18" s="209"/>
      <c r="N18" s="214" t="s">
        <v>630</v>
      </c>
      <c r="O18" s="215" t="s">
        <v>626</v>
      </c>
    </row>
    <row r="19" spans="2:15" ht="22.5" customHeight="1">
      <c r="B19" s="271" t="s">
        <v>778</v>
      </c>
      <c r="G19" s="46" t="s">
        <v>620</v>
      </c>
      <c r="L19" s="208" t="s">
        <v>623</v>
      </c>
      <c r="M19" s="209"/>
      <c r="N19" s="214" t="s">
        <v>631</v>
      </c>
      <c r="O19" s="215" t="s">
        <v>627</v>
      </c>
    </row>
    <row r="20" spans="2:15" ht="22.5" customHeight="1" thickBot="1">
      <c r="B20" s="270" t="s">
        <v>779</v>
      </c>
      <c r="L20" s="210" t="s">
        <v>624</v>
      </c>
      <c r="M20" s="211"/>
      <c r="N20" s="216" t="s">
        <v>632</v>
      </c>
      <c r="O20" s="217" t="s">
        <v>628</v>
      </c>
    </row>
    <row r="21" spans="2:15" ht="22.5" customHeight="1" thickBot="1">
      <c r="B21" s="271" t="s">
        <v>780</v>
      </c>
    </row>
    <row r="22" spans="2:15" ht="22.5" customHeight="1" thickBot="1">
      <c r="B22" s="270" t="s">
        <v>781</v>
      </c>
      <c r="N22" s="212" t="s">
        <v>607</v>
      </c>
      <c r="O22" s="213" t="s">
        <v>606</v>
      </c>
    </row>
    <row r="23" spans="2:15" ht="22.5" customHeight="1">
      <c r="B23" s="271" t="s">
        <v>782</v>
      </c>
      <c r="L23" s="206" t="s">
        <v>646</v>
      </c>
      <c r="M23" s="178"/>
      <c r="N23" s="212" t="s">
        <v>647</v>
      </c>
      <c r="O23" s="213" t="s">
        <v>648</v>
      </c>
    </row>
    <row r="24" spans="2:15" ht="22.5" customHeight="1">
      <c r="B24" s="270" t="s">
        <v>783</v>
      </c>
      <c r="L24" s="208" t="s">
        <v>649</v>
      </c>
      <c r="M24" s="180"/>
      <c r="N24" s="214" t="s">
        <v>650</v>
      </c>
      <c r="O24" s="215" t="s">
        <v>651</v>
      </c>
    </row>
    <row r="25" spans="2:15" ht="22.5" customHeight="1">
      <c r="B25" s="271" t="s">
        <v>784</v>
      </c>
      <c r="L25" s="208" t="s">
        <v>652</v>
      </c>
      <c r="M25" s="180"/>
      <c r="N25" s="214" t="s">
        <v>653</v>
      </c>
      <c r="O25" s="215" t="s">
        <v>654</v>
      </c>
    </row>
    <row r="26" spans="2:15" ht="22.5" customHeight="1">
      <c r="L26" s="208" t="s">
        <v>655</v>
      </c>
      <c r="M26" s="180"/>
      <c r="N26" s="214" t="s">
        <v>656</v>
      </c>
      <c r="O26" s="215" t="s">
        <v>657</v>
      </c>
    </row>
    <row r="27" spans="2:15" ht="22.5" customHeight="1">
      <c r="L27" s="208" t="s">
        <v>658</v>
      </c>
      <c r="M27" s="180"/>
      <c r="N27" s="214" t="s">
        <v>659</v>
      </c>
      <c r="O27" s="215" t="s">
        <v>660</v>
      </c>
    </row>
    <row r="28" spans="2:15" ht="22.05" customHeight="1">
      <c r="L28" s="208" t="s">
        <v>661</v>
      </c>
      <c r="M28" s="180"/>
      <c r="N28" s="214" t="s">
        <v>662</v>
      </c>
      <c r="O28" s="215" t="s">
        <v>663</v>
      </c>
    </row>
    <row r="29" spans="2:15" ht="22.05" customHeight="1">
      <c r="L29" s="208" t="s">
        <v>664</v>
      </c>
      <c r="M29" s="180"/>
      <c r="N29" s="214" t="s">
        <v>665</v>
      </c>
      <c r="O29" s="215" t="s">
        <v>666</v>
      </c>
    </row>
    <row r="30" spans="2:15" ht="22.05" customHeight="1">
      <c r="L30" s="208" t="s">
        <v>667</v>
      </c>
      <c r="M30" s="180"/>
      <c r="N30" s="214" t="s">
        <v>668</v>
      </c>
      <c r="O30" s="215" t="s">
        <v>669</v>
      </c>
    </row>
    <row r="31" spans="2:15" ht="22.05" customHeight="1">
      <c r="L31" s="208" t="s">
        <v>670</v>
      </c>
      <c r="M31" s="180"/>
      <c r="N31" s="214" t="s">
        <v>671</v>
      </c>
      <c r="O31" s="215" t="s">
        <v>672</v>
      </c>
    </row>
    <row r="32" spans="2:15" ht="22.05" customHeight="1">
      <c r="L32" s="208" t="s">
        <v>673</v>
      </c>
      <c r="M32" s="180"/>
      <c r="N32" s="214" t="s">
        <v>674</v>
      </c>
      <c r="O32" s="215" t="s">
        <v>675</v>
      </c>
    </row>
    <row r="33" spans="12:15" ht="22.05" customHeight="1" thickBot="1">
      <c r="L33" s="210" t="s">
        <v>676</v>
      </c>
      <c r="M33" s="182"/>
      <c r="N33" s="216" t="s">
        <v>677</v>
      </c>
      <c r="O33" s="217" t="s">
        <v>678</v>
      </c>
    </row>
    <row r="57" spans="6:10" ht="15" hidden="1" thickBot="1">
      <c r="F57" s="46"/>
      <c r="G57" s="40" t="s">
        <v>603</v>
      </c>
      <c r="H57" s="41" t="s">
        <v>607</v>
      </c>
      <c r="I57" s="41" t="s">
        <v>612</v>
      </c>
      <c r="J57" s="42" t="s">
        <v>606</v>
      </c>
    </row>
    <row r="58" spans="6:10" hidden="1">
      <c r="F58" s="186" t="s">
        <v>603</v>
      </c>
      <c r="G58" s="40">
        <f>D6</f>
        <v>7</v>
      </c>
      <c r="H58" s="41">
        <f>141.5/(D6+131.5)</f>
        <v>1.0216606498194947</v>
      </c>
      <c r="I58" s="41">
        <f>H58*999.016</f>
        <v>1020.6553357400722</v>
      </c>
      <c r="J58" s="42">
        <f>(D6+131.5)/(141.5*0.159)</f>
        <v>6.1559659532857749</v>
      </c>
    </row>
    <row r="59" spans="6:10" hidden="1">
      <c r="F59" s="187" t="s">
        <v>610</v>
      </c>
      <c r="G59" s="203">
        <f>(141.5/D6)-131.5</f>
        <v>-111.28571428571428</v>
      </c>
      <c r="H59" s="204">
        <f>D6</f>
        <v>7</v>
      </c>
      <c r="I59" s="204">
        <f>D6*999.012</f>
        <v>6993.0839999999998</v>
      </c>
      <c r="J59" s="205">
        <f>1/(0.159*D6)</f>
        <v>0.89847259658580414</v>
      </c>
    </row>
    <row r="60" spans="6:10" hidden="1">
      <c r="F60" s="187" t="s">
        <v>609</v>
      </c>
      <c r="G60" s="203">
        <f>((141.5*999)/D6)-131.5</f>
        <v>20062.571428571428</v>
      </c>
      <c r="H60" s="204">
        <f>D6/999</f>
        <v>7.0070070070070069E-3</v>
      </c>
      <c r="I60" s="204">
        <f>D6</f>
        <v>7</v>
      </c>
      <c r="J60" s="205">
        <f>J59*999</f>
        <v>897.57412398921838</v>
      </c>
    </row>
    <row r="61" spans="6:10" ht="15" hidden="1" thickBot="1">
      <c r="F61" s="188" t="s">
        <v>616</v>
      </c>
      <c r="G61" s="43">
        <f>(D6*(0.159*141.5))-131.5</f>
        <v>25.989499999999992</v>
      </c>
      <c r="H61" s="44">
        <f>1/(0.159*D6)</f>
        <v>0.89847259658580414</v>
      </c>
      <c r="I61" s="44">
        <f>H61*999</f>
        <v>897.57412398921838</v>
      </c>
      <c r="J61" s="45">
        <f>D6</f>
        <v>7</v>
      </c>
    </row>
  </sheetData>
  <mergeCells count="24">
    <mergeCell ref="G13:G14"/>
    <mergeCell ref="H13:I14"/>
    <mergeCell ref="J13:K14"/>
    <mergeCell ref="L13:M14"/>
    <mergeCell ref="N13:O14"/>
    <mergeCell ref="G9:G10"/>
    <mergeCell ref="H9:I10"/>
    <mergeCell ref="J9:K10"/>
    <mergeCell ref="L9:M10"/>
    <mergeCell ref="N9:O10"/>
    <mergeCell ref="G11:G12"/>
    <mergeCell ref="H11:I12"/>
    <mergeCell ref="J11:K12"/>
    <mergeCell ref="L11:M12"/>
    <mergeCell ref="N11:O12"/>
    <mergeCell ref="H6:I6"/>
    <mergeCell ref="J6:K6"/>
    <mergeCell ref="L6:M6"/>
    <mergeCell ref="N6:O6"/>
    <mergeCell ref="G7:G8"/>
    <mergeCell ref="H7:I8"/>
    <mergeCell ref="J7:K8"/>
    <mergeCell ref="L7:M8"/>
    <mergeCell ref="N7:O8"/>
  </mergeCells>
  <dataValidations count="1">
    <dataValidation type="list" allowBlank="1" showInputMessage="1" showErrorMessage="1" sqref="E6" xr:uid="{00000000-0002-0000-1000-000000000000}">
      <formula1>E7:E10</formula1>
    </dataValidation>
  </dataValidations>
  <hyperlinks>
    <hyperlink ref="N22" r:id="rId1" display="http://sigma2c.com/08Density.html" xr:uid="{00000000-0004-0000-1000-000000000000}"/>
    <hyperlink ref="B4" location="'01'!A1" display="01 Length" xr:uid="{00000000-0004-0000-1000-000001000000}"/>
    <hyperlink ref="B5" location="'02'!A1" display="02 Area (small)" xr:uid="{00000000-0004-0000-1000-000002000000}"/>
    <hyperlink ref="B6" location="'03'!A1" display="03 Area (large)" xr:uid="{00000000-0004-0000-1000-000003000000}"/>
    <hyperlink ref="B7" location="'04'!A1" display="04 Volume" xr:uid="{00000000-0004-0000-1000-000004000000}"/>
    <hyperlink ref="B8" location="'05'!A1" display="05 Velocity" xr:uid="{00000000-0004-0000-1000-000005000000}"/>
    <hyperlink ref="B9" location="'06'!A1" display="06 Volume flow" xr:uid="{00000000-0004-0000-1000-000006000000}"/>
    <hyperlink ref="B10" location="'07'!A1" display="07 Mass" xr:uid="{00000000-0004-0000-1000-000007000000}"/>
    <hyperlink ref="B11" location="'08'!A1" display="08 Density" xr:uid="{00000000-0004-0000-1000-000008000000}"/>
    <hyperlink ref="B12" location="'09'!A1" display="09 Mass flow" xr:uid="{00000000-0004-0000-1000-000009000000}"/>
    <hyperlink ref="B13" location="'10'!A1" display="10 Force" xr:uid="{00000000-0004-0000-1000-00000A000000}"/>
    <hyperlink ref="B14" location="'11'!A1" display="11 Pressure" xr:uid="{00000000-0004-0000-1000-00000B000000}"/>
    <hyperlink ref="B15" location="'12'!A1" display="12 Energy" xr:uid="{00000000-0004-0000-1000-00000C000000}"/>
    <hyperlink ref="B16" location="'13'!A1" display="13 Calorific value" xr:uid="{00000000-0004-0000-1000-00000D000000}"/>
    <hyperlink ref="B17" location="'14'!A1" display="14 Gas price" xr:uid="{00000000-0004-0000-1000-00000E000000}"/>
    <hyperlink ref="B18" location="'15'!A1" display="15 Temperature" xr:uid="{00000000-0004-0000-1000-00000F000000}"/>
    <hyperlink ref="B19" location="'16'!A1" display="16 API gravity" xr:uid="{00000000-0004-0000-1000-000010000000}"/>
    <hyperlink ref="B20" location="'17'!A1" display="17 BOE" xr:uid="{00000000-0004-0000-1000-000011000000}"/>
    <hyperlink ref="B21" location="'18'!A1" display="18 LNG" xr:uid="{00000000-0004-0000-1000-000012000000}"/>
    <hyperlink ref="B22" location="'19'!A1" display="19 Emissions" xr:uid="{00000000-0004-0000-1000-000013000000}"/>
    <hyperlink ref="B23" location="'20'!A1" display="20 SI prefixes" xr:uid="{00000000-0004-0000-1000-000014000000}"/>
    <hyperlink ref="B24" location="'21'!A1" display="21 ISO 6974" xr:uid="{00000000-0004-0000-1000-000015000000}"/>
    <hyperlink ref="B25" location="'22'!A1" display="22 SRK equation" xr:uid="{00000000-0004-0000-1000-000016000000}"/>
    <hyperlink ref="G18" location="'08'!A1" display="** ρ = density (kg/m³)" xr:uid="{00000000-0004-0000-1000-000017000000}"/>
  </hyperlinks>
  <pageMargins left="0.7" right="0.7" top="0.75" bottom="0.75" header="0.3" footer="0.3"/>
  <pageSetup paperSize="9" orientation="portrait" horizontalDpi="300" verticalDpi="30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3"/>
  <sheetViews>
    <sheetView showGridLines="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779</v>
      </c>
      <c r="E2" s="3"/>
    </row>
    <row r="3" spans="2:15" ht="7.95" customHeight="1">
      <c r="H3" s="1"/>
      <c r="I3" s="1"/>
      <c r="J3" s="1"/>
      <c r="K3" s="1"/>
      <c r="L3" s="1"/>
      <c r="M3" s="1"/>
      <c r="N3" s="1"/>
      <c r="O3" s="1"/>
    </row>
    <row r="4" spans="2:15" ht="22.5" customHeight="1" thickBot="1">
      <c r="B4" s="270" t="s">
        <v>763</v>
      </c>
    </row>
    <row r="5" spans="2:15" ht="22.5" customHeight="1" thickBot="1">
      <c r="B5" s="271" t="s">
        <v>764</v>
      </c>
      <c r="L5" s="182"/>
      <c r="M5" s="183"/>
      <c r="N5" s="229" t="s">
        <v>688</v>
      </c>
    </row>
    <row r="6" spans="2:15" ht="22.5" customHeight="1" thickBot="1">
      <c r="B6" s="270" t="s">
        <v>765</v>
      </c>
      <c r="D6" s="169">
        <v>1</v>
      </c>
      <c r="E6" s="47" t="s">
        <v>679</v>
      </c>
      <c r="L6" s="206" t="s">
        <v>240</v>
      </c>
      <c r="M6" s="178"/>
      <c r="N6" s="229">
        <v>16.850000000000001</v>
      </c>
    </row>
    <row r="7" spans="2:15" ht="22.5" customHeight="1" thickBot="1">
      <c r="B7" s="271" t="s">
        <v>766</v>
      </c>
      <c r="D7" s="227"/>
      <c r="E7" s="47"/>
      <c r="H7" s="228">
        <f>D6*D8*1000000/6119</f>
        <v>6863.8666448766135</v>
      </c>
      <c r="I7" s="47" t="s">
        <v>681</v>
      </c>
      <c r="L7" s="208" t="s">
        <v>689</v>
      </c>
      <c r="M7" s="180"/>
      <c r="N7" s="230">
        <v>11.6</v>
      </c>
    </row>
    <row r="8" spans="2:15" ht="22.5" customHeight="1" thickBot="1">
      <c r="B8" s="270" t="s">
        <v>767</v>
      </c>
      <c r="D8" s="169">
        <v>42</v>
      </c>
      <c r="E8" s="272" t="s">
        <v>680</v>
      </c>
      <c r="L8" s="208" t="s">
        <v>690</v>
      </c>
      <c r="M8" s="180"/>
      <c r="N8" s="230">
        <v>8.9</v>
      </c>
    </row>
    <row r="9" spans="2:15" ht="22.5" customHeight="1">
      <c r="B9" s="271" t="s">
        <v>768</v>
      </c>
      <c r="D9" s="48"/>
      <c r="E9" s="48"/>
      <c r="L9" s="208" t="s">
        <v>691</v>
      </c>
      <c r="M9" s="180"/>
      <c r="N9" s="230">
        <v>8.5299999999999994</v>
      </c>
    </row>
    <row r="10" spans="2:15" ht="22.5" customHeight="1">
      <c r="B10" s="270" t="s">
        <v>769</v>
      </c>
      <c r="D10" s="225"/>
      <c r="E10" s="48"/>
      <c r="L10" s="208" t="s">
        <v>692</v>
      </c>
      <c r="M10" s="180"/>
      <c r="N10" s="230">
        <v>7.93</v>
      </c>
    </row>
    <row r="11" spans="2:15" ht="22.5" customHeight="1">
      <c r="B11" s="271" t="s">
        <v>770</v>
      </c>
      <c r="D11" s="48"/>
      <c r="E11" s="48"/>
      <c r="L11" s="208" t="s">
        <v>661</v>
      </c>
      <c r="M11" s="180"/>
      <c r="N11" s="230">
        <v>7.74</v>
      </c>
    </row>
    <row r="12" spans="2:15" ht="22.5" customHeight="1">
      <c r="B12" s="270" t="s">
        <v>771</v>
      </c>
      <c r="D12" s="48"/>
      <c r="E12" s="48"/>
      <c r="G12" s="46" t="s">
        <v>682</v>
      </c>
      <c r="L12" s="208" t="s">
        <v>693</v>
      </c>
      <c r="M12" s="180"/>
      <c r="N12" s="230">
        <v>8.5</v>
      </c>
    </row>
    <row r="13" spans="2:15" ht="22.5" customHeight="1">
      <c r="B13" s="271" t="s">
        <v>772</v>
      </c>
      <c r="D13" s="48"/>
      <c r="E13" s="48"/>
      <c r="G13" s="46" t="s">
        <v>683</v>
      </c>
      <c r="L13" s="208" t="s">
        <v>694</v>
      </c>
      <c r="M13" s="180"/>
      <c r="N13" s="230">
        <v>7.46</v>
      </c>
    </row>
    <row r="14" spans="2:15" ht="22.5" customHeight="1">
      <c r="B14" s="270" t="s">
        <v>773</v>
      </c>
      <c r="D14" s="48"/>
      <c r="E14" s="48"/>
      <c r="G14" s="46" t="s">
        <v>684</v>
      </c>
      <c r="L14" s="208" t="s">
        <v>695</v>
      </c>
      <c r="M14" s="180"/>
      <c r="N14" s="230">
        <v>6.66</v>
      </c>
    </row>
    <row r="15" spans="2:15" ht="22.5" customHeight="1">
      <c r="B15" s="271" t="s">
        <v>774</v>
      </c>
      <c r="D15" s="48"/>
      <c r="E15" s="48"/>
      <c r="G15" s="46" t="s">
        <v>685</v>
      </c>
      <c r="L15" s="208" t="s">
        <v>696</v>
      </c>
      <c r="M15" s="180"/>
      <c r="N15" s="230">
        <v>7</v>
      </c>
    </row>
    <row r="16" spans="2:15" ht="22.5" customHeight="1">
      <c r="B16" s="270" t="s">
        <v>775</v>
      </c>
      <c r="D16" s="48"/>
      <c r="E16" s="48"/>
      <c r="G16" s="46" t="s">
        <v>686</v>
      </c>
      <c r="L16" s="208" t="s">
        <v>697</v>
      </c>
      <c r="M16" s="180"/>
      <c r="N16" s="230">
        <v>7.09</v>
      </c>
    </row>
    <row r="17" spans="2:14" ht="22.5" customHeight="1" thickBot="1">
      <c r="B17" s="271" t="s">
        <v>776</v>
      </c>
      <c r="D17" s="48"/>
      <c r="E17" s="48"/>
      <c r="G17" s="46" t="s">
        <v>687</v>
      </c>
      <c r="L17" s="210" t="s">
        <v>698</v>
      </c>
      <c r="M17" s="182"/>
      <c r="N17" s="231">
        <v>7</v>
      </c>
    </row>
    <row r="18" spans="2:14" ht="22.5" customHeight="1">
      <c r="B18" s="270" t="s">
        <v>777</v>
      </c>
      <c r="G18" s="46"/>
    </row>
    <row r="19" spans="2:14" ht="22.5" customHeight="1">
      <c r="B19" s="271" t="s">
        <v>778</v>
      </c>
    </row>
    <row r="20" spans="2:14" ht="22.5" customHeight="1">
      <c r="B20" s="270" t="s">
        <v>779</v>
      </c>
    </row>
    <row r="21" spans="2:14" ht="22.5" customHeight="1">
      <c r="B21" s="271" t="s">
        <v>780</v>
      </c>
    </row>
    <row r="22" spans="2:14" ht="22.5" customHeight="1">
      <c r="B22" s="270" t="s">
        <v>781</v>
      </c>
    </row>
    <row r="23" spans="2:14" ht="22.5" customHeight="1">
      <c r="B23" s="271" t="s">
        <v>782</v>
      </c>
    </row>
    <row r="24" spans="2:14" ht="22.5" customHeight="1">
      <c r="B24" s="270" t="s">
        <v>783</v>
      </c>
    </row>
    <row r="25" spans="2:14" ht="22.5" customHeight="1">
      <c r="B25" s="271" t="s">
        <v>784</v>
      </c>
    </row>
    <row r="26" spans="2:14" ht="22.5" customHeight="1"/>
    <row r="27" spans="2:14" ht="22.5" customHeight="1"/>
    <row r="28" spans="2:14" ht="22.05" customHeight="1"/>
    <row r="29" spans="2:14" ht="22.05" customHeight="1"/>
    <row r="30" spans="2:14" ht="22.05" customHeight="1"/>
    <row r="31" spans="2:14" ht="22.05" customHeight="1"/>
    <row r="32" spans="2:14" ht="22.05" customHeight="1"/>
    <row r="33" ht="22.05" customHeight="1"/>
  </sheetData>
  <hyperlinks>
    <hyperlink ref="N5" r:id="rId1" display="http://sigma2c.com/08Density.html" xr:uid="{00000000-0004-0000-1100-000000000000}"/>
    <hyperlink ref="B4" location="'01'!A1" display="01 Length" xr:uid="{00000000-0004-0000-1100-000001000000}"/>
    <hyperlink ref="B5" location="'02'!A1" display="02 Area (small)" xr:uid="{00000000-0004-0000-1100-000002000000}"/>
    <hyperlink ref="B6" location="'03'!A1" display="03 Area (large)" xr:uid="{00000000-0004-0000-1100-000003000000}"/>
    <hyperlink ref="B7" location="'04'!A1" display="04 Volume" xr:uid="{00000000-0004-0000-1100-000004000000}"/>
    <hyperlink ref="B8" location="'05'!A1" display="05 Velocity" xr:uid="{00000000-0004-0000-1100-000005000000}"/>
    <hyperlink ref="B9" location="'06'!A1" display="06 Volume flow" xr:uid="{00000000-0004-0000-1100-000006000000}"/>
    <hyperlink ref="B10" location="'07'!A1" display="07 Mass" xr:uid="{00000000-0004-0000-1100-000007000000}"/>
    <hyperlink ref="B11" location="'08'!A1" display="08 Density" xr:uid="{00000000-0004-0000-1100-000008000000}"/>
    <hyperlink ref="B12" location="'09'!A1" display="09 Mass flow" xr:uid="{00000000-0004-0000-1100-000009000000}"/>
    <hyperlink ref="B13" location="'10'!A1" display="10 Force" xr:uid="{00000000-0004-0000-1100-00000A000000}"/>
    <hyperlink ref="B14" location="'11'!A1" display="11 Pressure" xr:uid="{00000000-0004-0000-1100-00000B000000}"/>
    <hyperlink ref="B15" location="'12'!A1" display="12 Energy" xr:uid="{00000000-0004-0000-1100-00000C000000}"/>
    <hyperlink ref="B16" location="'13'!A1" display="13 Calorific value" xr:uid="{00000000-0004-0000-1100-00000D000000}"/>
    <hyperlink ref="B17" location="'14'!A1" display="14 Gas price" xr:uid="{00000000-0004-0000-1100-00000E000000}"/>
    <hyperlink ref="B18" location="'15'!A1" display="15 Temperature" xr:uid="{00000000-0004-0000-1100-00000F000000}"/>
    <hyperlink ref="B19" location="'16'!A1" display="16 API gravity" xr:uid="{00000000-0004-0000-1100-000010000000}"/>
    <hyperlink ref="B20" location="'17'!A1" display="17 BOE" xr:uid="{00000000-0004-0000-1100-000011000000}"/>
    <hyperlink ref="B21" location="'18'!A1" display="18 LNG" xr:uid="{00000000-0004-0000-1100-000012000000}"/>
    <hyperlink ref="B22" location="'19'!A1" display="19 Emissions" xr:uid="{00000000-0004-0000-1100-000013000000}"/>
    <hyperlink ref="B23" location="'20'!A1" display="20 SI prefixes" xr:uid="{00000000-0004-0000-1100-000014000000}"/>
    <hyperlink ref="B24" location="'21'!A1" display="21 ISO 6974" xr:uid="{00000000-0004-0000-1100-000015000000}"/>
    <hyperlink ref="B25" location="'22'!A1" display="22 SRK equation" xr:uid="{00000000-0004-0000-1100-000016000000}"/>
    <hyperlink ref="G16" location="'18'!A1" display="1 Te LPG/NGL = 11.4 BOE (approx, from Energy Trends)" xr:uid="{00000000-0004-0000-1100-000017000000}"/>
    <hyperlink ref="G14" location="'04'!A1" display="1 Mscf = 166.67 BOE (approx)" xr:uid="{00000000-0004-0000-1100-000018000000}"/>
    <hyperlink ref="G15" location="'04'!A1" display="1 Mscm = 5800 BOE (approx)" xr:uid="{00000000-0004-0000-1100-000019000000}"/>
  </hyperlinks>
  <pageMargins left="0.7" right="0.7" top="0.75" bottom="0.75" header="0.3" footer="0.3"/>
  <pageSetup paperSize="9" orientation="portrait" horizontalDpi="300" verticalDpi="30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54"/>
  <sheetViews>
    <sheetView showGridLines="0" workbookViewId="0">
      <selection activeCell="B20" sqref="B20"/>
    </sheetView>
  </sheetViews>
  <sheetFormatPr defaultRowHeight="14.4"/>
  <cols>
    <col min="1" max="1" width="3.21875" customWidth="1"/>
    <col min="2" max="2" width="19.88671875" customWidth="1"/>
    <col min="3" max="3" width="2.77734375" customWidth="1"/>
    <col min="4" max="4" width="11.109375" customWidth="1"/>
    <col min="5" max="5" width="9.21875" customWidth="1"/>
    <col min="7" max="15" width="11.6640625" customWidth="1"/>
  </cols>
  <sheetData>
    <row r="1" spans="2:15" ht="7.95" customHeight="1"/>
    <row r="2" spans="2:15" ht="60.45" customHeight="1">
      <c r="D2" s="56" t="s">
        <v>780</v>
      </c>
      <c r="E2" s="3"/>
    </row>
    <row r="3" spans="2:15" ht="7.95" customHeight="1">
      <c r="H3" s="1"/>
      <c r="I3" s="1"/>
      <c r="J3" s="1"/>
      <c r="K3" s="1"/>
      <c r="L3" s="1"/>
      <c r="M3" s="1"/>
      <c r="N3" s="1"/>
      <c r="O3" s="2"/>
    </row>
    <row r="4" spans="2:15" ht="22.5" customHeight="1" thickBot="1">
      <c r="B4" s="270" t="s">
        <v>763</v>
      </c>
      <c r="H4" s="1"/>
      <c r="I4" s="1"/>
      <c r="J4" s="1"/>
      <c r="K4" s="1"/>
      <c r="L4" s="1"/>
      <c r="M4" s="1"/>
      <c r="N4" s="1"/>
      <c r="O4" s="2"/>
    </row>
    <row r="5" spans="2:15" ht="22.5" customHeight="1" thickBot="1">
      <c r="B5" s="271" t="s">
        <v>764</v>
      </c>
      <c r="G5" s="18"/>
      <c r="H5" s="326" t="s">
        <v>745</v>
      </c>
      <c r="I5" s="326"/>
      <c r="J5" s="326"/>
      <c r="K5" s="326"/>
      <c r="L5" s="327" t="s">
        <v>746</v>
      </c>
      <c r="M5" s="327"/>
      <c r="N5" s="327" t="s">
        <v>747</v>
      </c>
      <c r="O5" s="328"/>
    </row>
    <row r="6" spans="2:15" ht="22.5" customHeight="1" thickBot="1">
      <c r="B6" s="270" t="s">
        <v>765</v>
      </c>
      <c r="D6" s="169">
        <v>1</v>
      </c>
      <c r="E6" s="168" t="s">
        <v>120</v>
      </c>
      <c r="G6" s="266"/>
      <c r="H6" s="232" t="s">
        <v>748</v>
      </c>
      <c r="I6" s="257" t="s">
        <v>118</v>
      </c>
      <c r="J6" s="257" t="s">
        <v>120</v>
      </c>
      <c r="K6" s="257" t="s">
        <v>749</v>
      </c>
      <c r="L6" s="257" t="s">
        <v>750</v>
      </c>
      <c r="M6" s="257" t="s">
        <v>751</v>
      </c>
      <c r="N6" s="257" t="s">
        <v>753</v>
      </c>
      <c r="O6" s="267" t="s">
        <v>754</v>
      </c>
    </row>
    <row r="7" spans="2:15" ht="22.5" customHeight="1">
      <c r="B7" s="271" t="s">
        <v>766</v>
      </c>
      <c r="D7" s="48">
        <f>D6*H51</f>
        <v>0.45900000000000002</v>
      </c>
      <c r="E7" s="48" t="s">
        <v>748</v>
      </c>
      <c r="G7" s="22" t="s">
        <v>748</v>
      </c>
      <c r="H7" s="30">
        <v>1</v>
      </c>
      <c r="I7" s="269">
        <f>1/0.013</f>
        <v>76.92307692307692</v>
      </c>
      <c r="J7" s="269">
        <f>1/0.459</f>
        <v>2.1786492374727668</v>
      </c>
      <c r="K7" s="269">
        <f>1/0.073</f>
        <v>13.698630136986303</v>
      </c>
      <c r="L7" s="31">
        <f>L8*76.923</f>
        <v>45248.823529411769</v>
      </c>
      <c r="M7" s="31">
        <f>1/0.0008</f>
        <v>1250</v>
      </c>
      <c r="N7" s="31">
        <f>1/0.019</f>
        <v>52.631578947368425</v>
      </c>
      <c r="O7" s="32">
        <f>1/1.93</f>
        <v>0.5181347150259068</v>
      </c>
    </row>
    <row r="8" spans="2:15" ht="22.5" customHeight="1">
      <c r="B8" s="270" t="s">
        <v>767</v>
      </c>
      <c r="D8" s="48">
        <f>D6*I51</f>
        <v>35.314700000000002</v>
      </c>
      <c r="E8" s="48" t="s">
        <v>118</v>
      </c>
      <c r="G8" s="22" t="s">
        <v>118</v>
      </c>
      <c r="H8" s="189">
        <v>1.2999999999999999E-2</v>
      </c>
      <c r="I8" s="191">
        <v>1</v>
      </c>
      <c r="J8" s="258">
        <f>1/35.3125</f>
        <v>2.831858407079646E-2</v>
      </c>
      <c r="K8" s="258">
        <f>1/5.62</f>
        <v>0.17793594306049823</v>
      </c>
      <c r="L8" s="192">
        <f>1/0.0017</f>
        <v>588.23529411764707</v>
      </c>
      <c r="M8" s="192">
        <f>1/0.062</f>
        <v>16.129032258064516</v>
      </c>
      <c r="N8" s="192">
        <f>1/1.49</f>
        <v>0.67114093959731547</v>
      </c>
      <c r="O8" s="193">
        <f>1/148.94</f>
        <v>6.7141130656640262E-3</v>
      </c>
    </row>
    <row r="9" spans="2:15" ht="22.5" customHeight="1">
      <c r="B9" s="271" t="s">
        <v>768</v>
      </c>
      <c r="D9" s="48">
        <f>D6*J51</f>
        <v>1</v>
      </c>
      <c r="E9" s="48" t="s">
        <v>120</v>
      </c>
      <c r="G9" s="22" t="s">
        <v>120</v>
      </c>
      <c r="H9" s="34">
        <v>0.45900000000000002</v>
      </c>
      <c r="I9" s="9">
        <v>35.314700000000002</v>
      </c>
      <c r="J9" s="4">
        <v>1</v>
      </c>
      <c r="K9" s="5">
        <f>1/0.16</f>
        <v>6.25</v>
      </c>
      <c r="L9" s="5">
        <f>1/0.00005</f>
        <v>20000</v>
      </c>
      <c r="M9" s="5">
        <f>1/0.0018</f>
        <v>555.55555555555554</v>
      </c>
      <c r="N9" s="246">
        <f>1/0.042</f>
        <v>23.809523809523807</v>
      </c>
      <c r="O9" s="250">
        <f>1/4.22</f>
        <v>0.23696682464454977</v>
      </c>
    </row>
    <row r="10" spans="2:15" ht="22.5" customHeight="1">
      <c r="B10" s="270" t="s">
        <v>769</v>
      </c>
      <c r="D10" s="48">
        <f>D6*K51</f>
        <v>6.25</v>
      </c>
      <c r="E10" s="48" t="s">
        <v>749</v>
      </c>
      <c r="G10" s="22" t="s">
        <v>749</v>
      </c>
      <c r="H10" s="35">
        <v>7.2999999999999995E-2</v>
      </c>
      <c r="I10" s="190">
        <v>5.62</v>
      </c>
      <c r="J10" s="190">
        <v>0.16</v>
      </c>
      <c r="K10" s="191">
        <v>1</v>
      </c>
      <c r="L10" s="190">
        <f>1/0.0003</f>
        <v>3333.3333333333335</v>
      </c>
      <c r="M10" s="192">
        <f>1/0.01</f>
        <v>100</v>
      </c>
      <c r="N10" s="244">
        <f>1/0.27</f>
        <v>3.7037037037037033</v>
      </c>
      <c r="O10" s="248">
        <f>1/26.52</f>
        <v>3.7707390648567117E-2</v>
      </c>
    </row>
    <row r="11" spans="2:15" ht="22.5" customHeight="1">
      <c r="B11" s="271" t="s">
        <v>770</v>
      </c>
      <c r="D11" s="48">
        <f>D6*L51</f>
        <v>20000</v>
      </c>
      <c r="E11" s="48" t="s">
        <v>750</v>
      </c>
      <c r="G11" s="22" t="s">
        <v>750</v>
      </c>
      <c r="H11" s="34">
        <f>1/L7</f>
        <v>2.2100022100022098E-5</v>
      </c>
      <c r="I11" s="9">
        <f>1/L8</f>
        <v>1.6999999999999999E-3</v>
      </c>
      <c r="J11" s="5">
        <v>5.0000000000000002E-5</v>
      </c>
      <c r="K11" s="9">
        <v>2.9999999999999997E-4</v>
      </c>
      <c r="L11" s="4">
        <v>1</v>
      </c>
      <c r="M11" s="5">
        <f>1/37.33</f>
        <v>2.6788106080900081E-2</v>
      </c>
      <c r="N11" s="246">
        <f>1/894.38</f>
        <v>1.1180929806122678E-3</v>
      </c>
      <c r="O11" s="268">
        <f>1/89104.4</f>
        <v>1.1222790344809011E-5</v>
      </c>
    </row>
    <row r="12" spans="2:15" ht="22.5" customHeight="1">
      <c r="B12" s="270" t="s">
        <v>771</v>
      </c>
      <c r="D12" s="48">
        <f>D6*M51</f>
        <v>555.55555555555554</v>
      </c>
      <c r="E12" s="48" t="s">
        <v>751</v>
      </c>
      <c r="G12" s="22" t="s">
        <v>751</v>
      </c>
      <c r="H12" s="35">
        <v>8.0000000000000004E-4</v>
      </c>
      <c r="I12" s="190">
        <v>6.2E-2</v>
      </c>
      <c r="J12" s="194">
        <v>1.8E-3</v>
      </c>
      <c r="K12" s="190">
        <v>0.01</v>
      </c>
      <c r="L12" s="190">
        <v>37.33</v>
      </c>
      <c r="M12" s="195">
        <v>1</v>
      </c>
      <c r="N12" s="244">
        <f>1/23.96</f>
        <v>4.1736227045075125E-2</v>
      </c>
      <c r="O12" s="248">
        <f>1/2386.8</f>
        <v>4.1897100720630128E-4</v>
      </c>
    </row>
    <row r="13" spans="2:15" ht="22.5" customHeight="1">
      <c r="B13" s="271" t="s">
        <v>772</v>
      </c>
      <c r="D13" s="48">
        <f>D6*N51</f>
        <v>23.809523809523807</v>
      </c>
      <c r="E13" s="48" t="s">
        <v>752</v>
      </c>
      <c r="G13" s="22" t="s">
        <v>752</v>
      </c>
      <c r="H13" s="37">
        <v>1.9E-2</v>
      </c>
      <c r="I13" s="12">
        <v>1.49</v>
      </c>
      <c r="J13" s="12">
        <v>4.2000000000000003E-2</v>
      </c>
      <c r="K13" s="13">
        <v>0.27</v>
      </c>
      <c r="L13" s="13">
        <v>894.38</v>
      </c>
      <c r="M13" s="13">
        <v>23.96</v>
      </c>
      <c r="N13" s="259">
        <v>1</v>
      </c>
      <c r="O13" s="268">
        <f>1/99.63</f>
        <v>1.0037137408411122E-2</v>
      </c>
    </row>
    <row r="14" spans="2:15" ht="22.5" customHeight="1" thickBot="1">
      <c r="B14" s="270" t="s">
        <v>773</v>
      </c>
      <c r="D14" s="48">
        <f>D6*O51</f>
        <v>0.23696682464454977</v>
      </c>
      <c r="E14" s="48" t="s">
        <v>755</v>
      </c>
      <c r="G14" s="27" t="s">
        <v>755</v>
      </c>
      <c r="H14" s="52">
        <v>1.93</v>
      </c>
      <c r="I14" s="53">
        <v>148.94</v>
      </c>
      <c r="J14" s="54">
        <v>4.22</v>
      </c>
      <c r="K14" s="54">
        <v>26.52</v>
      </c>
      <c r="L14" s="54">
        <v>89104.4</v>
      </c>
      <c r="M14" s="54">
        <v>2386.8000000000002</v>
      </c>
      <c r="N14" s="54">
        <v>99.63</v>
      </c>
      <c r="O14" s="55">
        <v>1</v>
      </c>
    </row>
    <row r="15" spans="2:15" ht="22.5" customHeight="1">
      <c r="B15" s="271" t="s">
        <v>774</v>
      </c>
      <c r="D15" s="48"/>
      <c r="E15" s="48"/>
      <c r="G15" s="46"/>
    </row>
    <row r="16" spans="2:15" ht="22.5" customHeight="1" thickBot="1">
      <c r="B16" s="270" t="s">
        <v>775</v>
      </c>
      <c r="D16" s="48"/>
      <c r="E16" s="48"/>
      <c r="G16" s="46"/>
      <c r="O16" s="58"/>
    </row>
    <row r="17" spans="2:15" ht="22.5" customHeight="1" thickBot="1">
      <c r="B17" s="271" t="s">
        <v>776</v>
      </c>
      <c r="D17" s="169">
        <v>1</v>
      </c>
      <c r="E17" s="168" t="s">
        <v>757</v>
      </c>
      <c r="G17" s="18"/>
      <c r="H17" s="19" t="s">
        <v>756</v>
      </c>
      <c r="I17" s="20" t="s">
        <v>757</v>
      </c>
      <c r="J17" s="20" t="s">
        <v>758</v>
      </c>
      <c r="K17" s="20" t="s">
        <v>759</v>
      </c>
      <c r="L17" s="20" t="s">
        <v>760</v>
      </c>
      <c r="M17" s="21" t="s">
        <v>681</v>
      </c>
      <c r="O17" s="58"/>
    </row>
    <row r="18" spans="2:15" ht="22.5" customHeight="1">
      <c r="B18" s="270" t="s">
        <v>777</v>
      </c>
      <c r="D18" s="48">
        <f>H54</f>
        <v>2.222</v>
      </c>
      <c r="E18" s="48" t="s">
        <v>756</v>
      </c>
      <c r="G18" s="22" t="s">
        <v>756</v>
      </c>
      <c r="H18" s="30">
        <v>1</v>
      </c>
      <c r="I18" s="31">
        <v>0.45</v>
      </c>
      <c r="J18" s="260">
        <v>7.6920000000000005E-4</v>
      </c>
      <c r="K18" s="260">
        <v>2.7180000000000001E-5</v>
      </c>
      <c r="L18" s="31">
        <v>1.8700000000000001E-2</v>
      </c>
      <c r="M18" s="32">
        <v>0.1087</v>
      </c>
    </row>
    <row r="19" spans="2:15" ht="22.5" customHeight="1">
      <c r="B19" s="271" t="s">
        <v>778</v>
      </c>
      <c r="D19" s="48">
        <f>I54</f>
        <v>1</v>
      </c>
      <c r="E19" s="48" t="s">
        <v>757</v>
      </c>
      <c r="G19" s="22" t="s">
        <v>757</v>
      </c>
      <c r="H19" s="189">
        <v>2.222</v>
      </c>
      <c r="I19" s="191">
        <v>1</v>
      </c>
      <c r="J19" s="192">
        <v>1.6999999999999999E-3</v>
      </c>
      <c r="K19" s="261">
        <v>4.8000000000000001E-4</v>
      </c>
      <c r="L19" s="192">
        <v>4.1599999999999998E-2</v>
      </c>
      <c r="M19" s="193">
        <v>0.24149999999999999</v>
      </c>
      <c r="N19" s="252"/>
      <c r="O19" s="252"/>
    </row>
    <row r="20" spans="2:15" ht="22.5" customHeight="1">
      <c r="B20" s="270" t="s">
        <v>779</v>
      </c>
      <c r="D20" s="48">
        <f>J54</f>
        <v>1.6999999999999999E-3</v>
      </c>
      <c r="E20" s="48" t="s">
        <v>758</v>
      </c>
      <c r="G20" s="22" t="s">
        <v>758</v>
      </c>
      <c r="H20" s="34">
        <v>1300</v>
      </c>
      <c r="I20" s="9">
        <v>585</v>
      </c>
      <c r="J20" s="4">
        <v>1</v>
      </c>
      <c r="K20" s="5">
        <v>2.8299999999999999E-2</v>
      </c>
      <c r="L20" s="5">
        <v>24.36</v>
      </c>
      <c r="M20" s="23">
        <v>141.30000000000001</v>
      </c>
      <c r="N20" s="252"/>
      <c r="O20" s="252"/>
    </row>
    <row r="21" spans="2:15" ht="22.5" customHeight="1">
      <c r="B21" s="271" t="s">
        <v>780</v>
      </c>
      <c r="D21" s="48">
        <f>K54</f>
        <v>4.8000000000000001E-4</v>
      </c>
      <c r="E21" s="48" t="s">
        <v>759</v>
      </c>
      <c r="G21" s="22" t="s">
        <v>759</v>
      </c>
      <c r="H21" s="35">
        <v>45909</v>
      </c>
      <c r="I21" s="190">
        <v>20659</v>
      </c>
      <c r="J21" s="190">
        <v>35.31</v>
      </c>
      <c r="K21" s="191">
        <v>1</v>
      </c>
      <c r="L21" s="190">
        <v>860.1</v>
      </c>
      <c r="M21" s="193">
        <v>4989</v>
      </c>
      <c r="N21" s="252"/>
      <c r="O21" s="252"/>
    </row>
    <row r="22" spans="2:15" ht="22.5" customHeight="1">
      <c r="B22" s="270" t="s">
        <v>781</v>
      </c>
      <c r="D22" s="48">
        <f>L54</f>
        <v>4.1599999999999998E-2</v>
      </c>
      <c r="E22" s="48" t="s">
        <v>760</v>
      </c>
      <c r="G22" s="22" t="s">
        <v>760</v>
      </c>
      <c r="H22" s="36">
        <v>53.38</v>
      </c>
      <c r="I22" s="9">
        <v>24.02</v>
      </c>
      <c r="J22" s="5">
        <v>4.1099999999999998E-2</v>
      </c>
      <c r="K22" s="9">
        <v>1.1999999999999999E-3</v>
      </c>
      <c r="L22" s="4">
        <v>1</v>
      </c>
      <c r="M22" s="23">
        <v>5.8</v>
      </c>
      <c r="N22" s="252"/>
      <c r="O22" s="252"/>
    </row>
    <row r="23" spans="2:15" ht="22.5" customHeight="1" thickBot="1">
      <c r="B23" s="271" t="s">
        <v>782</v>
      </c>
      <c r="D23" s="48">
        <f>M54</f>
        <v>0.24149999999999999</v>
      </c>
      <c r="E23" s="294" t="s">
        <v>681</v>
      </c>
      <c r="G23" s="27" t="s">
        <v>681</v>
      </c>
      <c r="H23" s="164">
        <v>9.2029999999999994</v>
      </c>
      <c r="I23" s="197">
        <v>4.141</v>
      </c>
      <c r="J23" s="196">
        <v>7.1000000000000004E-3</v>
      </c>
      <c r="K23" s="262">
        <v>2.0049999999999999E-4</v>
      </c>
      <c r="L23" s="197">
        <v>0.1724</v>
      </c>
      <c r="M23" s="198">
        <v>1</v>
      </c>
      <c r="N23" s="252"/>
      <c r="O23" s="252"/>
    </row>
    <row r="24" spans="2:15" ht="22.5" customHeight="1">
      <c r="B24" s="270" t="s">
        <v>783</v>
      </c>
      <c r="I24" s="252"/>
      <c r="J24" s="252"/>
      <c r="K24" s="252"/>
      <c r="L24" s="252"/>
      <c r="M24" s="252"/>
      <c r="N24" s="252"/>
      <c r="O24" s="252"/>
    </row>
    <row r="25" spans="2:15" ht="22.5" customHeight="1">
      <c r="B25" s="271" t="s">
        <v>784</v>
      </c>
      <c r="G25" s="46" t="s">
        <v>761</v>
      </c>
      <c r="I25" s="252"/>
      <c r="J25" s="252"/>
      <c r="K25" s="252"/>
      <c r="L25" s="252"/>
      <c r="M25" s="252"/>
      <c r="N25" s="252"/>
      <c r="O25" s="252"/>
    </row>
    <row r="26" spans="2:15" ht="22.5" customHeight="1">
      <c r="G26" s="46" t="s">
        <v>762</v>
      </c>
      <c r="I26" s="252"/>
      <c r="J26" s="252"/>
      <c r="K26" s="252"/>
      <c r="L26" s="252"/>
      <c r="M26" s="252"/>
      <c r="N26" s="252"/>
      <c r="O26" s="252"/>
    </row>
    <row r="27" spans="2:15" ht="22.5" customHeight="1">
      <c r="G27" s="46" t="s">
        <v>715</v>
      </c>
      <c r="I27" s="252"/>
      <c r="J27" s="252"/>
      <c r="K27" s="252"/>
      <c r="L27" s="252"/>
      <c r="M27" s="252"/>
      <c r="N27" s="252"/>
      <c r="O27" s="252"/>
    </row>
    <row r="28" spans="2:15">
      <c r="I28" s="252"/>
      <c r="J28" s="252"/>
      <c r="K28" s="252"/>
      <c r="L28" s="252"/>
      <c r="M28" s="252"/>
      <c r="N28" s="252"/>
      <c r="O28" s="252"/>
    </row>
    <row r="29" spans="2:15">
      <c r="I29" s="252"/>
      <c r="J29" s="252"/>
      <c r="K29" s="252"/>
      <c r="L29" s="252"/>
      <c r="M29" s="252"/>
      <c r="N29" s="252"/>
      <c r="O29" s="252"/>
    </row>
    <row r="30" spans="2:15">
      <c r="I30" s="252"/>
      <c r="J30" s="252"/>
      <c r="K30" s="252"/>
      <c r="L30" s="252"/>
      <c r="M30" s="252"/>
      <c r="N30" s="252"/>
      <c r="O30" s="252"/>
    </row>
    <row r="50" spans="8:15" hidden="1">
      <c r="H50" s="40">
        <v>2</v>
      </c>
      <c r="I50" s="41">
        <v>3</v>
      </c>
      <c r="J50" s="41">
        <v>4</v>
      </c>
      <c r="K50" s="41">
        <v>5</v>
      </c>
      <c r="L50" s="41">
        <v>6</v>
      </c>
      <c r="M50" s="41">
        <v>7</v>
      </c>
      <c r="N50" s="41">
        <v>8</v>
      </c>
      <c r="O50" s="42">
        <v>9</v>
      </c>
    </row>
    <row r="51" spans="8:15" ht="15" hidden="1" thickBot="1">
      <c r="H51" s="43">
        <f t="shared" ref="H51:O51" si="0">VLOOKUP($E$6,$G$7:$O$14,H50,FALSE)</f>
        <v>0.45900000000000002</v>
      </c>
      <c r="I51" s="44">
        <f t="shared" si="0"/>
        <v>35.314700000000002</v>
      </c>
      <c r="J51" s="44">
        <f t="shared" si="0"/>
        <v>1</v>
      </c>
      <c r="K51" s="44">
        <f t="shared" si="0"/>
        <v>6.25</v>
      </c>
      <c r="L51" s="44">
        <f t="shared" si="0"/>
        <v>20000</v>
      </c>
      <c r="M51" s="44">
        <f t="shared" si="0"/>
        <v>555.55555555555554</v>
      </c>
      <c r="N51" s="44">
        <f t="shared" si="0"/>
        <v>23.809523809523807</v>
      </c>
      <c r="O51" s="45">
        <f t="shared" si="0"/>
        <v>0.23696682464454977</v>
      </c>
    </row>
    <row r="52" spans="8:15" ht="15" hidden="1" thickBot="1"/>
    <row r="53" spans="8:15" hidden="1">
      <c r="H53" s="40">
        <v>2</v>
      </c>
      <c r="I53" s="41">
        <v>3</v>
      </c>
      <c r="J53" s="41">
        <v>4</v>
      </c>
      <c r="K53" s="41">
        <v>5</v>
      </c>
      <c r="L53" s="41">
        <v>6</v>
      </c>
      <c r="M53" s="42">
        <v>7</v>
      </c>
    </row>
    <row r="54" spans="8:15" ht="15" hidden="1" thickBot="1">
      <c r="H54" s="43">
        <f>VLOOKUP($E$17,$G$18:$M$23,H53,FALSE)</f>
        <v>2.222</v>
      </c>
      <c r="I54" s="44">
        <f t="shared" ref="I54:M54" si="1">VLOOKUP($E$17,$G$18:$M$23,I53,FALSE)</f>
        <v>1</v>
      </c>
      <c r="J54" s="44">
        <f t="shared" si="1"/>
        <v>1.6999999999999999E-3</v>
      </c>
      <c r="K54" s="44">
        <f t="shared" si="1"/>
        <v>4.8000000000000001E-4</v>
      </c>
      <c r="L54" s="44">
        <f t="shared" si="1"/>
        <v>4.1599999999999998E-2</v>
      </c>
      <c r="M54" s="45">
        <f t="shared" si="1"/>
        <v>0.24149999999999999</v>
      </c>
    </row>
  </sheetData>
  <mergeCells count="3">
    <mergeCell ref="H5:K5"/>
    <mergeCell ref="L5:M5"/>
    <mergeCell ref="N5:O5"/>
  </mergeCells>
  <dataValidations count="2">
    <dataValidation type="list" allowBlank="1" showInputMessage="1" showErrorMessage="1" sqref="E6" xr:uid="{00000000-0002-0000-1200-000000000000}">
      <formula1>E7:E14</formula1>
    </dataValidation>
    <dataValidation type="list" allowBlank="1" showInputMessage="1" showErrorMessage="1" sqref="E17" xr:uid="{00000000-0002-0000-1200-000001000000}">
      <formula1>E18:E23</formula1>
    </dataValidation>
  </dataValidations>
  <hyperlinks>
    <hyperlink ref="B4" location="'01'!A1" display="01 Length" xr:uid="{00000000-0004-0000-1200-000000000000}"/>
    <hyperlink ref="B5" location="'02'!A1" display="02 Area (small)" xr:uid="{00000000-0004-0000-1200-000001000000}"/>
    <hyperlink ref="B6" location="'03'!A1" display="03 Area (large)" xr:uid="{00000000-0004-0000-1200-000002000000}"/>
    <hyperlink ref="B7" location="'04'!A1" display="04 Volume" xr:uid="{00000000-0004-0000-1200-000003000000}"/>
    <hyperlink ref="B8" location="'05'!A1" display="05 Velocity" xr:uid="{00000000-0004-0000-1200-000004000000}"/>
    <hyperlink ref="B9" location="'06'!A1" display="06 Volume flow" xr:uid="{00000000-0004-0000-1200-000005000000}"/>
    <hyperlink ref="B10" location="'07'!A1" display="07 Mass" xr:uid="{00000000-0004-0000-1200-000006000000}"/>
    <hyperlink ref="B11" location="'08'!A1" display="08 Density" xr:uid="{00000000-0004-0000-1200-000007000000}"/>
    <hyperlink ref="B12" location="'09'!A1" display="09 Mass flow" xr:uid="{00000000-0004-0000-1200-000008000000}"/>
    <hyperlink ref="B13" location="'10'!A1" display="10 Force" xr:uid="{00000000-0004-0000-1200-000009000000}"/>
    <hyperlink ref="B14" location="'11'!A1" display="11 Pressure" xr:uid="{00000000-0004-0000-1200-00000A000000}"/>
    <hyperlink ref="B15" location="'12'!A1" display="12 Energy" xr:uid="{00000000-0004-0000-1200-00000B000000}"/>
    <hyperlink ref="B16" location="'13'!A1" display="13 Calorific value" xr:uid="{00000000-0004-0000-1200-00000C000000}"/>
    <hyperlink ref="B17" location="'14'!A1" display="14 Gas price" xr:uid="{00000000-0004-0000-1200-00000D000000}"/>
    <hyperlink ref="B18" location="'15'!A1" display="15 Temperature" xr:uid="{00000000-0004-0000-1200-00000E000000}"/>
    <hyperlink ref="B19" location="'16'!A1" display="16 API gravity" xr:uid="{00000000-0004-0000-1200-00000F000000}"/>
    <hyperlink ref="B20" location="'17'!A1" display="17 BOE" xr:uid="{00000000-0004-0000-1200-000010000000}"/>
    <hyperlink ref="B21" location="'18'!A1" display="18 LNG" xr:uid="{00000000-0004-0000-1200-000011000000}"/>
    <hyperlink ref="B22" location="'19'!A1" display="19 Emissions" xr:uid="{00000000-0004-0000-1200-000012000000}"/>
    <hyperlink ref="B23" location="'20'!A1" display="20 SI prefixes" xr:uid="{00000000-0004-0000-1200-000013000000}"/>
    <hyperlink ref="B24" location="'21'!A1" display="21 ISO 6974" xr:uid="{00000000-0004-0000-1200-000014000000}"/>
    <hyperlink ref="B25" location="'22'!A1" display="22 SRK equation" xr:uid="{00000000-0004-0000-1200-000015000000}"/>
    <hyperlink ref="E23" location="'17'!A1" display="BOE" xr:uid="{00000000-0004-0000-1200-000016000000}"/>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1"/>
  <sheetViews>
    <sheetView showGridLines="0" workbookViewId="0"/>
  </sheetViews>
  <sheetFormatPr defaultRowHeight="14.4"/>
  <cols>
    <col min="1" max="1" width="3.21875" customWidth="1"/>
    <col min="2" max="2" width="20.2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763</v>
      </c>
      <c r="E2" s="3"/>
    </row>
    <row r="3" spans="2:15" ht="7.95" customHeight="1">
      <c r="H3" s="1"/>
      <c r="I3" s="1"/>
      <c r="J3" s="1"/>
      <c r="K3" s="1"/>
      <c r="L3" s="1"/>
      <c r="M3" s="1"/>
      <c r="N3" s="1"/>
      <c r="O3" s="2"/>
    </row>
    <row r="4" spans="2:15" ht="22.5" customHeight="1">
      <c r="B4" s="270" t="s">
        <v>763</v>
      </c>
      <c r="H4" s="1"/>
      <c r="I4" s="1"/>
      <c r="J4" s="1"/>
      <c r="K4" s="1"/>
      <c r="L4" s="1"/>
      <c r="M4" s="1"/>
      <c r="N4" s="1"/>
      <c r="O4" s="2"/>
    </row>
    <row r="5" spans="2:15" ht="22.5" customHeight="1" thickBot="1">
      <c r="B5" s="271" t="s">
        <v>764</v>
      </c>
      <c r="G5" s="47"/>
      <c r="H5" s="1"/>
      <c r="I5" s="1"/>
      <c r="J5" s="1"/>
      <c r="K5" s="1"/>
      <c r="L5" s="1"/>
      <c r="M5" s="1"/>
      <c r="N5" s="1"/>
      <c r="O5" s="2"/>
    </row>
    <row r="6" spans="2:15" ht="22.5" customHeight="1" thickBot="1">
      <c r="B6" s="270" t="s">
        <v>765</v>
      </c>
      <c r="D6" s="169">
        <v>1</v>
      </c>
      <c r="E6" s="168" t="s">
        <v>53</v>
      </c>
      <c r="G6" s="18"/>
      <c r="H6" s="19" t="s">
        <v>53</v>
      </c>
      <c r="I6" s="20" t="s">
        <v>55</v>
      </c>
      <c r="J6" s="20" t="s">
        <v>57</v>
      </c>
      <c r="K6" s="20" t="s">
        <v>58</v>
      </c>
      <c r="L6" s="20" t="s">
        <v>60</v>
      </c>
      <c r="M6" s="20" t="s">
        <v>62</v>
      </c>
      <c r="N6" s="20" t="s">
        <v>63</v>
      </c>
      <c r="O6" s="21" t="s">
        <v>66</v>
      </c>
    </row>
    <row r="7" spans="2:15" ht="22.5" customHeight="1">
      <c r="B7" s="271" t="s">
        <v>766</v>
      </c>
      <c r="D7" s="48">
        <f>D6*H51</f>
        <v>1</v>
      </c>
      <c r="E7" s="48" t="s">
        <v>53</v>
      </c>
      <c r="G7" s="220" t="s">
        <v>53</v>
      </c>
      <c r="H7" s="30">
        <v>1</v>
      </c>
      <c r="I7" s="31">
        <v>0.1</v>
      </c>
      <c r="J7" s="31">
        <v>3.9370099999999998E-2</v>
      </c>
      <c r="K7" s="31" t="s">
        <v>59</v>
      </c>
      <c r="L7" s="31" t="s">
        <v>61</v>
      </c>
      <c r="M7" s="31" t="s">
        <v>13</v>
      </c>
      <c r="N7" s="31"/>
      <c r="O7" s="32"/>
    </row>
    <row r="8" spans="2:15" ht="22.5" customHeight="1">
      <c r="B8" s="270" t="s">
        <v>767</v>
      </c>
      <c r="D8" s="48">
        <f>D6*I51</f>
        <v>0.1</v>
      </c>
      <c r="E8" s="48" t="s">
        <v>55</v>
      </c>
      <c r="G8" s="220" t="s">
        <v>55</v>
      </c>
      <c r="H8" s="33">
        <v>10</v>
      </c>
      <c r="I8" s="7">
        <v>1</v>
      </c>
      <c r="J8" s="8">
        <v>0.39370100000000002</v>
      </c>
      <c r="K8" s="8">
        <v>3.2807999999999997E-2</v>
      </c>
      <c r="L8" s="8">
        <v>1.0936E-2</v>
      </c>
      <c r="M8" s="8">
        <v>0.01</v>
      </c>
      <c r="N8" s="8"/>
      <c r="O8" s="24"/>
    </row>
    <row r="9" spans="2:15" ht="22.5" customHeight="1">
      <c r="B9" s="271" t="s">
        <v>768</v>
      </c>
      <c r="D9" s="48">
        <f>D6*J51</f>
        <v>3.9370099999999998E-2</v>
      </c>
      <c r="E9" s="48" t="s">
        <v>57</v>
      </c>
      <c r="G9" s="220" t="s">
        <v>57</v>
      </c>
      <c r="H9" s="34">
        <v>25.4</v>
      </c>
      <c r="I9" s="9">
        <v>2.54</v>
      </c>
      <c r="J9" s="4">
        <v>1</v>
      </c>
      <c r="K9" s="5">
        <v>8.3330000000000001E-2</v>
      </c>
      <c r="L9" s="5">
        <v>2.7778000000000001E-2</v>
      </c>
      <c r="M9" s="5">
        <v>2.5399999999999999E-2</v>
      </c>
      <c r="N9" s="5"/>
      <c r="O9" s="23"/>
    </row>
    <row r="10" spans="2:15" ht="22.5" customHeight="1">
      <c r="B10" s="270" t="s">
        <v>769</v>
      </c>
      <c r="D10" s="48">
        <f>D6*K51</f>
        <v>3.2807999999999999E-3</v>
      </c>
      <c r="E10" s="48" t="s">
        <v>58</v>
      </c>
      <c r="G10" s="220" t="s">
        <v>58</v>
      </c>
      <c r="H10" s="35">
        <v>304.8</v>
      </c>
      <c r="I10" s="6">
        <v>30.48</v>
      </c>
      <c r="J10" s="6">
        <v>12</v>
      </c>
      <c r="K10" s="7">
        <v>1</v>
      </c>
      <c r="L10" s="6">
        <v>0.3333333</v>
      </c>
      <c r="M10" s="8">
        <v>0.30480000000000002</v>
      </c>
      <c r="N10" s="6" t="s">
        <v>64</v>
      </c>
      <c r="O10" s="49" t="s">
        <v>67</v>
      </c>
    </row>
    <row r="11" spans="2:15" ht="22.5" customHeight="1">
      <c r="B11" s="271" t="s">
        <v>770</v>
      </c>
      <c r="D11" s="48">
        <f>D6*L51</f>
        <v>1.0935999999999999E-3</v>
      </c>
      <c r="E11" s="48" t="s">
        <v>60</v>
      </c>
      <c r="G11" s="220" t="s">
        <v>60</v>
      </c>
      <c r="H11" s="36">
        <v>914.4</v>
      </c>
      <c r="I11" s="9">
        <v>91.44</v>
      </c>
      <c r="J11" s="5">
        <v>36</v>
      </c>
      <c r="K11" s="9">
        <v>3</v>
      </c>
      <c r="L11" s="4">
        <v>1</v>
      </c>
      <c r="M11" s="5">
        <v>0.91439999999999999</v>
      </c>
      <c r="N11" s="5" t="s">
        <v>65</v>
      </c>
      <c r="O11" s="50" t="s">
        <v>68</v>
      </c>
    </row>
    <row r="12" spans="2:15" ht="22.5" customHeight="1">
      <c r="B12" s="270" t="s">
        <v>771</v>
      </c>
      <c r="D12" s="48">
        <f>D6*M51</f>
        <v>1E-3</v>
      </c>
      <c r="E12" s="48" t="s">
        <v>62</v>
      </c>
      <c r="G12" s="220" t="s">
        <v>62</v>
      </c>
      <c r="H12" s="35">
        <v>1000</v>
      </c>
      <c r="I12" s="6">
        <v>100</v>
      </c>
      <c r="J12" s="10">
        <v>39.370100000000001</v>
      </c>
      <c r="K12" s="6">
        <v>3.28084</v>
      </c>
      <c r="L12" s="6">
        <v>1.09361</v>
      </c>
      <c r="M12" s="11">
        <v>1</v>
      </c>
      <c r="N12" s="6" t="s">
        <v>13</v>
      </c>
      <c r="O12" s="49" t="s">
        <v>69</v>
      </c>
    </row>
    <row r="13" spans="2:15" ht="22.5" customHeight="1">
      <c r="B13" s="271" t="s">
        <v>772</v>
      </c>
      <c r="D13" s="48">
        <f>D6*N51</f>
        <v>0</v>
      </c>
      <c r="E13" s="48" t="s">
        <v>63</v>
      </c>
      <c r="G13" s="220" t="s">
        <v>63</v>
      </c>
      <c r="H13" s="37" t="s">
        <v>45</v>
      </c>
      <c r="I13" s="12" t="s">
        <v>56</v>
      </c>
      <c r="J13" s="12">
        <v>39370.1</v>
      </c>
      <c r="K13" s="13">
        <v>3280.84</v>
      </c>
      <c r="L13" s="13">
        <v>1093.6099999999999</v>
      </c>
      <c r="M13" s="13">
        <v>1000</v>
      </c>
      <c r="N13" s="14">
        <v>1</v>
      </c>
      <c r="O13" s="51">
        <v>0.62137100000000001</v>
      </c>
    </row>
    <row r="14" spans="2:15" ht="22.5" customHeight="1" thickBot="1">
      <c r="B14" s="270" t="s">
        <v>773</v>
      </c>
      <c r="D14" s="48">
        <f>D6*O51</f>
        <v>0</v>
      </c>
      <c r="E14" s="48" t="s">
        <v>66</v>
      </c>
      <c r="G14" s="221" t="s">
        <v>66</v>
      </c>
      <c r="H14" s="52" t="s">
        <v>54</v>
      </c>
      <c r="I14" s="53">
        <v>160934</v>
      </c>
      <c r="J14" s="54">
        <v>63360</v>
      </c>
      <c r="K14" s="54">
        <v>5280</v>
      </c>
      <c r="L14" s="54">
        <v>1760</v>
      </c>
      <c r="M14" s="54">
        <v>1609.34</v>
      </c>
      <c r="N14" s="54">
        <v>1.60934</v>
      </c>
      <c r="O14" s="55">
        <v>1</v>
      </c>
    </row>
    <row r="15" spans="2:15" ht="22.5" customHeight="1">
      <c r="B15" s="271" t="s">
        <v>774</v>
      </c>
      <c r="D15" s="48"/>
      <c r="E15" s="48"/>
      <c r="G15" s="218" t="s">
        <v>634</v>
      </c>
    </row>
    <row r="16" spans="2:15" ht="22.5" customHeight="1">
      <c r="B16" s="270" t="s">
        <v>775</v>
      </c>
      <c r="D16" s="48"/>
      <c r="E16" s="48"/>
      <c r="G16" s="46" t="s">
        <v>70</v>
      </c>
      <c r="H16" s="199"/>
    </row>
    <row r="17" spans="2:8" ht="22.5" customHeight="1">
      <c r="B17" s="271" t="s">
        <v>776</v>
      </c>
      <c r="D17" s="48"/>
      <c r="E17" s="48"/>
      <c r="G17" s="46" t="s">
        <v>71</v>
      </c>
      <c r="H17" s="199"/>
    </row>
    <row r="18" spans="2:8" ht="22.5" customHeight="1">
      <c r="B18" s="270" t="s">
        <v>777</v>
      </c>
      <c r="G18" s="46" t="s">
        <v>72</v>
      </c>
      <c r="H18" s="199"/>
    </row>
    <row r="19" spans="2:8" ht="22.5" customHeight="1">
      <c r="B19" s="271" t="s">
        <v>778</v>
      </c>
    </row>
    <row r="20" spans="2:8" ht="22.5" customHeight="1">
      <c r="B20" s="270" t="s">
        <v>779</v>
      </c>
    </row>
    <row r="21" spans="2:8" ht="22.5" customHeight="1">
      <c r="B21" s="271" t="s">
        <v>780</v>
      </c>
    </row>
    <row r="22" spans="2:8" ht="22.5" customHeight="1">
      <c r="B22" s="270" t="s">
        <v>781</v>
      </c>
    </row>
    <row r="23" spans="2:8" ht="22.5" customHeight="1">
      <c r="B23" s="271" t="s">
        <v>782</v>
      </c>
    </row>
    <row r="24" spans="2:8" ht="22.5" customHeight="1">
      <c r="B24" s="270" t="s">
        <v>783</v>
      </c>
    </row>
    <row r="25" spans="2:8" ht="22.5" customHeight="1">
      <c r="B25" s="271" t="s">
        <v>784</v>
      </c>
    </row>
    <row r="26" spans="2:8" ht="22.5" customHeight="1"/>
    <row r="27" spans="2:8" ht="22.5" customHeight="1"/>
    <row r="50" spans="8:15" hidden="1">
      <c r="H50" s="40">
        <v>2</v>
      </c>
      <c r="I50" s="41">
        <v>3</v>
      </c>
      <c r="J50" s="41">
        <v>4</v>
      </c>
      <c r="K50" s="41">
        <v>5</v>
      </c>
      <c r="L50" s="41">
        <v>6</v>
      </c>
      <c r="M50" s="41">
        <v>7</v>
      </c>
      <c r="N50" s="41">
        <v>8</v>
      </c>
      <c r="O50" s="42">
        <v>9</v>
      </c>
    </row>
    <row r="51" spans="8:15" ht="15" hidden="1" thickBot="1">
      <c r="H51" s="43">
        <f t="shared" ref="H51:O51" si="0">VLOOKUP($E$6,$G$7:$O$14,H50,FALSE)</f>
        <v>1</v>
      </c>
      <c r="I51" s="44">
        <f t="shared" si="0"/>
        <v>0.1</v>
      </c>
      <c r="J51" s="44">
        <f t="shared" si="0"/>
        <v>3.9370099999999998E-2</v>
      </c>
      <c r="K51" s="44" t="str">
        <f t="shared" si="0"/>
        <v>3.2808e-3</v>
      </c>
      <c r="L51" s="44" t="str">
        <f t="shared" si="0"/>
        <v>1.0936e-3</v>
      </c>
      <c r="M51" s="44" t="str">
        <f t="shared" si="0"/>
        <v>1e-3</v>
      </c>
      <c r="N51" s="44">
        <f t="shared" si="0"/>
        <v>0</v>
      </c>
      <c r="O51" s="45">
        <f t="shared" si="0"/>
        <v>0</v>
      </c>
    </row>
  </sheetData>
  <dataValidations disablePrompts="1" count="1">
    <dataValidation type="list" allowBlank="1" showInputMessage="1" showErrorMessage="1" sqref="E6" xr:uid="{00000000-0002-0000-0100-000000000000}">
      <formula1>$E$7:$E$14</formula1>
    </dataValidation>
  </dataValidations>
  <hyperlinks>
    <hyperlink ref="B4" location="'01'!A1" display="01 Length" xr:uid="{00000000-0004-0000-0100-000000000000}"/>
    <hyperlink ref="B5" location="'02'!A1" display="02 Area (small)" xr:uid="{00000000-0004-0000-0100-000001000000}"/>
    <hyperlink ref="B6" location="'03'!A1" display="03 Area (large)" xr:uid="{00000000-0004-0000-0100-000002000000}"/>
    <hyperlink ref="B7" location="'04'!A1" display="04 Volume" xr:uid="{00000000-0004-0000-0100-000003000000}"/>
    <hyperlink ref="B8" location="'05'!A1" display="05 Velocity" xr:uid="{00000000-0004-0000-0100-000004000000}"/>
    <hyperlink ref="B9" location="'06'!A1" display="06 Volume flow" xr:uid="{00000000-0004-0000-0100-000005000000}"/>
    <hyperlink ref="B10" location="'07'!A1" display="07 Mass" xr:uid="{00000000-0004-0000-0100-000006000000}"/>
    <hyperlink ref="B11" location="'08'!A1" display="08 Density" xr:uid="{00000000-0004-0000-0100-000007000000}"/>
    <hyperlink ref="B12" location="'09'!A1" display="09 Mass flow" xr:uid="{00000000-0004-0000-0100-000008000000}"/>
    <hyperlink ref="B13" location="'10'!A1" display="10 Force" xr:uid="{00000000-0004-0000-0100-000009000000}"/>
    <hyperlink ref="B14" location="'11'!A1" display="11 Pressure" xr:uid="{00000000-0004-0000-0100-00000A000000}"/>
    <hyperlink ref="B15" location="'12'!A1" display="12 Energy" xr:uid="{00000000-0004-0000-0100-00000B000000}"/>
    <hyperlink ref="B16" location="'13'!A1" display="13 Calorific value" xr:uid="{00000000-0004-0000-0100-00000C000000}"/>
    <hyperlink ref="B17" location="'14'!A1" display="14 Gas price" xr:uid="{00000000-0004-0000-0100-00000D000000}"/>
    <hyperlink ref="B18" location="'15'!A1" display="15 Temperature" xr:uid="{00000000-0004-0000-0100-00000E000000}"/>
    <hyperlink ref="B19" location="'16'!A1" display="16 API gravity" xr:uid="{00000000-0004-0000-0100-00000F000000}"/>
    <hyperlink ref="B20" location="'17'!A1" display="17 BOE" xr:uid="{00000000-0004-0000-0100-000010000000}"/>
    <hyperlink ref="B21" location="'18'!A1" display="18 LNG" xr:uid="{00000000-0004-0000-0100-000011000000}"/>
    <hyperlink ref="B22" location="'19'!A1" display="19 Emissions" xr:uid="{00000000-0004-0000-0100-000012000000}"/>
    <hyperlink ref="B23" location="'20'!A1" display="20 SI prefixes" xr:uid="{00000000-0004-0000-0100-000013000000}"/>
    <hyperlink ref="B24" location="'21'!A1" display="21 ISO 6974" xr:uid="{00000000-0004-0000-0100-000014000000}"/>
    <hyperlink ref="B25" location="'22'!A1" display="22 SRK equation" xr:uid="{00000000-0004-0000-0100-000015000000}"/>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57"/>
  <sheetViews>
    <sheetView showGridLines="0" workbookViewId="0"/>
  </sheetViews>
  <sheetFormatPr defaultRowHeight="14.4"/>
  <cols>
    <col min="1" max="1" width="3.21875" customWidth="1"/>
    <col min="2" max="2" width="19.88671875" customWidth="1"/>
    <col min="3" max="3" width="2.77734375" customWidth="1"/>
    <col min="4" max="4" width="17.21875" customWidth="1"/>
    <col min="5" max="5" width="18.77734375" style="202" customWidth="1"/>
    <col min="6" max="6" width="7.44140625" style="202" customWidth="1"/>
    <col min="7" max="7" width="16.77734375" customWidth="1"/>
    <col min="8" max="8" width="13.6640625" customWidth="1"/>
    <col min="9" max="10" width="13.109375" customWidth="1"/>
    <col min="11" max="11" width="18.77734375" customWidth="1"/>
  </cols>
  <sheetData>
    <row r="1" spans="2:11" ht="7.95" customHeight="1"/>
    <row r="2" spans="2:11" ht="60.45" customHeight="1">
      <c r="D2" s="56" t="s">
        <v>781</v>
      </c>
    </row>
    <row r="3" spans="2:11" ht="7.95" customHeight="1">
      <c r="E3" s="1"/>
      <c r="F3" s="1"/>
      <c r="G3" s="1"/>
      <c r="H3" s="1"/>
      <c r="I3" s="1"/>
      <c r="J3" s="1"/>
      <c r="K3" s="1"/>
    </row>
    <row r="4" spans="2:11" ht="22.5" customHeight="1">
      <c r="B4" s="270" t="s">
        <v>763</v>
      </c>
      <c r="E4" s="1"/>
      <c r="F4" s="1"/>
      <c r="G4" s="1"/>
      <c r="H4" s="1"/>
      <c r="I4" s="1"/>
      <c r="J4" s="1"/>
      <c r="K4" s="1"/>
    </row>
    <row r="5" spans="2:11" ht="22.5" customHeight="1" thickBot="1">
      <c r="B5" s="271" t="s">
        <v>764</v>
      </c>
    </row>
    <row r="6" spans="2:11" ht="22.5" customHeight="1">
      <c r="B6" s="270" t="s">
        <v>765</v>
      </c>
      <c r="D6" s="330" t="s">
        <v>716</v>
      </c>
      <c r="E6" s="330" t="s">
        <v>723</v>
      </c>
      <c r="F6"/>
      <c r="G6" s="332" t="s">
        <v>724</v>
      </c>
      <c r="H6" s="332" t="s">
        <v>258</v>
      </c>
      <c r="I6" s="332" t="s">
        <v>734</v>
      </c>
      <c r="J6" s="332" t="s">
        <v>785</v>
      </c>
      <c r="K6" s="332" t="s">
        <v>733</v>
      </c>
    </row>
    <row r="7" spans="2:11" ht="22.5" customHeight="1" thickBot="1">
      <c r="B7" s="271" t="s">
        <v>766</v>
      </c>
      <c r="D7" s="331"/>
      <c r="E7" s="331"/>
      <c r="F7"/>
      <c r="G7" s="333"/>
      <c r="H7" s="333"/>
      <c r="I7" s="333"/>
      <c r="J7" s="333"/>
      <c r="K7" s="333"/>
    </row>
    <row r="8" spans="2:11" ht="22.5" customHeight="1" thickBot="1">
      <c r="B8" s="270" t="s">
        <v>767</v>
      </c>
      <c r="D8" s="255" t="s">
        <v>717</v>
      </c>
      <c r="E8" s="256">
        <v>0.33300000000000002</v>
      </c>
      <c r="F8"/>
      <c r="G8" s="200" t="s">
        <v>190</v>
      </c>
      <c r="H8" s="201" t="s">
        <v>735</v>
      </c>
      <c r="I8" s="201" t="s">
        <v>725</v>
      </c>
      <c r="J8" s="201" t="s">
        <v>736</v>
      </c>
      <c r="K8" s="201">
        <v>1</v>
      </c>
    </row>
    <row r="9" spans="2:11" ht="22.5" customHeight="1" thickBot="1">
      <c r="B9" s="271" t="s">
        <v>768</v>
      </c>
      <c r="D9" s="255" t="s">
        <v>718</v>
      </c>
      <c r="E9" s="256">
        <v>0.33800000000000002</v>
      </c>
      <c r="F9"/>
      <c r="G9" s="200" t="s">
        <v>243</v>
      </c>
      <c r="H9" s="201" t="s">
        <v>737</v>
      </c>
      <c r="I9" s="201">
        <v>12</v>
      </c>
      <c r="J9" s="201" t="s">
        <v>738</v>
      </c>
      <c r="K9" s="201" t="s">
        <v>726</v>
      </c>
    </row>
    <row r="10" spans="2:11" ht="22.5" customHeight="1" thickBot="1">
      <c r="B10" s="270" t="s">
        <v>769</v>
      </c>
      <c r="D10" s="255" t="s">
        <v>240</v>
      </c>
      <c r="E10" s="256">
        <v>0.191</v>
      </c>
      <c r="F10"/>
      <c r="G10" s="200" t="s">
        <v>727</v>
      </c>
      <c r="H10" s="201" t="s">
        <v>739</v>
      </c>
      <c r="I10" s="201">
        <v>114</v>
      </c>
      <c r="J10" s="201" t="s">
        <v>740</v>
      </c>
      <c r="K10" s="201" t="s">
        <v>728</v>
      </c>
    </row>
    <row r="11" spans="2:11" ht="22.5" customHeight="1" thickBot="1">
      <c r="B11" s="271" t="s">
        <v>770</v>
      </c>
      <c r="D11" s="255" t="s">
        <v>673</v>
      </c>
      <c r="E11" s="256">
        <v>0.26700000000000002</v>
      </c>
      <c r="F11"/>
      <c r="G11" s="200" t="s">
        <v>729</v>
      </c>
      <c r="H11" s="201" t="s">
        <v>741</v>
      </c>
      <c r="I11" s="201">
        <v>14</v>
      </c>
      <c r="J11" s="201">
        <v>0.16</v>
      </c>
      <c r="K11" s="201" t="s">
        <v>730</v>
      </c>
    </row>
    <row r="12" spans="2:11" ht="22.5" customHeight="1" thickBot="1">
      <c r="B12" s="270" t="s">
        <v>771</v>
      </c>
      <c r="D12" s="255" t="s">
        <v>664</v>
      </c>
      <c r="E12" s="256">
        <v>0.27900000000000003</v>
      </c>
      <c r="F12"/>
      <c r="G12" s="200" t="s">
        <v>731</v>
      </c>
      <c r="H12" s="201" t="s">
        <v>742</v>
      </c>
      <c r="I12" s="201">
        <v>3200</v>
      </c>
      <c r="J12" s="201">
        <v>0.52</v>
      </c>
      <c r="K12" s="201" t="s">
        <v>732</v>
      </c>
    </row>
    <row r="13" spans="2:11" ht="22.5" customHeight="1" thickBot="1">
      <c r="B13" s="271" t="s">
        <v>772</v>
      </c>
      <c r="D13" s="255" t="s">
        <v>200</v>
      </c>
      <c r="E13" s="256" t="s">
        <v>719</v>
      </c>
      <c r="F13"/>
    </row>
    <row r="14" spans="2:11" ht="22.5" customHeight="1" thickBot="1">
      <c r="B14" s="270" t="s">
        <v>773</v>
      </c>
      <c r="D14" s="255" t="s">
        <v>243</v>
      </c>
      <c r="E14" s="256">
        <v>0.184</v>
      </c>
      <c r="F14"/>
      <c r="G14" s="329" t="s">
        <v>743</v>
      </c>
      <c r="H14" s="329"/>
      <c r="I14" s="329"/>
      <c r="J14" s="329"/>
      <c r="K14" s="329"/>
    </row>
    <row r="15" spans="2:11" ht="22.5" customHeight="1" thickBot="1">
      <c r="B15" s="271" t="s">
        <v>774</v>
      </c>
      <c r="D15" s="255" t="s">
        <v>720</v>
      </c>
      <c r="E15" s="256">
        <v>0.246</v>
      </c>
      <c r="F15"/>
      <c r="G15" s="329"/>
      <c r="H15" s="329"/>
      <c r="I15" s="329"/>
      <c r="J15" s="329"/>
      <c r="K15" s="329"/>
    </row>
    <row r="16" spans="2:11" ht="22.5" customHeight="1" thickBot="1">
      <c r="B16" s="270" t="s">
        <v>775</v>
      </c>
      <c r="D16" s="255" t="s">
        <v>721</v>
      </c>
      <c r="E16" s="256">
        <v>0.184</v>
      </c>
      <c r="F16"/>
      <c r="G16" s="329"/>
      <c r="H16" s="329"/>
      <c r="I16" s="329"/>
      <c r="J16" s="329"/>
      <c r="K16" s="329"/>
    </row>
    <row r="17" spans="2:11" ht="22.5" customHeight="1">
      <c r="B17" s="271" t="s">
        <v>776</v>
      </c>
      <c r="D17" s="255" t="s">
        <v>722</v>
      </c>
      <c r="E17" s="256">
        <v>0.246</v>
      </c>
      <c r="F17"/>
      <c r="G17" s="329" t="s">
        <v>744</v>
      </c>
      <c r="H17" s="329"/>
      <c r="I17" s="329"/>
      <c r="J17" s="329"/>
      <c r="K17" s="329"/>
    </row>
    <row r="18" spans="2:11" ht="22.5" customHeight="1">
      <c r="B18" s="270" t="s">
        <v>777</v>
      </c>
      <c r="E18"/>
      <c r="F18"/>
      <c r="G18" s="329"/>
      <c r="H18" s="329"/>
      <c r="I18" s="329"/>
      <c r="J18" s="329"/>
      <c r="K18" s="329"/>
    </row>
    <row r="19" spans="2:11" ht="22.5" customHeight="1">
      <c r="B19" s="271" t="s">
        <v>778</v>
      </c>
      <c r="E19"/>
      <c r="F19"/>
      <c r="G19" s="329"/>
      <c r="H19" s="329"/>
      <c r="I19" s="329"/>
      <c r="J19" s="329"/>
      <c r="K19" s="329"/>
    </row>
    <row r="20" spans="2:11" ht="22.5" customHeight="1">
      <c r="B20" s="270" t="s">
        <v>779</v>
      </c>
      <c r="E20"/>
      <c r="F20"/>
    </row>
    <row r="21" spans="2:11" ht="22.5" customHeight="1">
      <c r="B21" s="271" t="s">
        <v>780</v>
      </c>
      <c r="E21"/>
      <c r="F21"/>
    </row>
    <row r="22" spans="2:11" ht="22.5" customHeight="1">
      <c r="B22" s="270" t="s">
        <v>781</v>
      </c>
      <c r="E22"/>
      <c r="F22"/>
    </row>
    <row r="23" spans="2:11" ht="22.5" customHeight="1">
      <c r="B23" s="271" t="s">
        <v>782</v>
      </c>
      <c r="E23"/>
      <c r="F23"/>
    </row>
    <row r="24" spans="2:11" ht="22.5" customHeight="1">
      <c r="B24" s="270" t="s">
        <v>783</v>
      </c>
      <c r="E24"/>
    </row>
    <row r="25" spans="2:11" ht="22.5" customHeight="1">
      <c r="B25" s="271" t="s">
        <v>784</v>
      </c>
    </row>
    <row r="26" spans="2:11" ht="22.5" customHeight="1"/>
    <row r="27" spans="2:11" ht="22.5" customHeight="1"/>
    <row r="28" spans="2:11" ht="22.5" customHeight="1"/>
    <row r="51" spans="4:11" hidden="1">
      <c r="E51" s="40">
        <v>2</v>
      </c>
      <c r="F51" s="41">
        <v>4</v>
      </c>
      <c r="G51" s="41">
        <v>5</v>
      </c>
      <c r="H51" s="41">
        <v>6</v>
      </c>
      <c r="I51" s="41"/>
      <c r="J51" s="41">
        <v>7</v>
      </c>
      <c r="K51" s="41">
        <v>8</v>
      </c>
    </row>
    <row r="52" spans="4:11" ht="15" hidden="1" thickBot="1">
      <c r="E52" s="43" t="e">
        <f>VLOOKUP(#REF!,$D$8:$K$14,E51,FALSE)</f>
        <v>#REF!</v>
      </c>
      <c r="F52" s="44" t="e">
        <f>VLOOKUP(#REF!,$D$8:$K$14,F51,FALSE)</f>
        <v>#REF!</v>
      </c>
      <c r="G52" s="44" t="e">
        <f>VLOOKUP(#REF!,$D$8:$K$14,G51,FALSE)</f>
        <v>#REF!</v>
      </c>
      <c r="H52" s="44" t="e">
        <f>VLOOKUP(#REF!,$D$8:$K$14,H51,FALSE)</f>
        <v>#REF!</v>
      </c>
      <c r="I52" s="44"/>
      <c r="J52" s="44" t="e">
        <f>VLOOKUP(#REF!,$D$8:$K$14,J51,FALSE)</f>
        <v>#REF!</v>
      </c>
      <c r="K52" s="44" t="e">
        <f>VLOOKUP(#REF!,$D$8:$K$14,K51,FALSE)</f>
        <v>#REF!</v>
      </c>
    </row>
    <row r="53" spans="4:11" hidden="1">
      <c r="D53" s="46"/>
      <c r="E53" s="40" t="s">
        <v>536</v>
      </c>
      <c r="F53" s="41" t="s">
        <v>538</v>
      </c>
      <c r="G53" s="179" t="s">
        <v>543</v>
      </c>
    </row>
    <row r="54" spans="4:11" hidden="1">
      <c r="D54" s="186" t="s">
        <v>316</v>
      </c>
      <c r="E54" s="40">
        <v>1</v>
      </c>
      <c r="F54" s="41">
        <f>E54+273.15</f>
        <v>274.14999999999998</v>
      </c>
      <c r="G54" s="179" t="e">
        <f>(#REF!+273.15)*9/5</f>
        <v>#REF!</v>
      </c>
    </row>
    <row r="55" spans="4:11" hidden="1">
      <c r="D55" s="187" t="s">
        <v>539</v>
      </c>
      <c r="E55" s="203" t="e">
        <f>(#REF!-32)*5/9</f>
        <v>#REF!</v>
      </c>
      <c r="F55" s="204" t="e">
        <f>(#REF!+459.67)*5/9</f>
        <v>#REF!</v>
      </c>
      <c r="G55" s="181" t="e">
        <f>#REF!+459.67</f>
        <v>#REF!</v>
      </c>
    </row>
    <row r="56" spans="4:11" hidden="1">
      <c r="D56" s="187" t="s">
        <v>540</v>
      </c>
      <c r="E56" s="203" t="e">
        <f>#REF!-273.15</f>
        <v>#REF!</v>
      </c>
      <c r="F56" s="204">
        <v>1</v>
      </c>
      <c r="G56" s="181" t="e">
        <f>#REF!*9/5</f>
        <v>#REF!</v>
      </c>
    </row>
    <row r="57" spans="4:11" ht="15" hidden="1" thickBot="1">
      <c r="D57" s="188" t="s">
        <v>544</v>
      </c>
      <c r="E57" s="43" t="e">
        <f>(#REF!-491.67)*5/9</f>
        <v>#REF!</v>
      </c>
      <c r="F57" s="44" t="e">
        <f>#REF!*5/9</f>
        <v>#REF!</v>
      </c>
      <c r="G57" s="183">
        <v>1</v>
      </c>
    </row>
  </sheetData>
  <mergeCells count="9">
    <mergeCell ref="G14:K16"/>
    <mergeCell ref="G17:K19"/>
    <mergeCell ref="E6:E7"/>
    <mergeCell ref="D6:D7"/>
    <mergeCell ref="H6:H7"/>
    <mergeCell ref="K6:K7"/>
    <mergeCell ref="G6:G7"/>
    <mergeCell ref="I6:I7"/>
    <mergeCell ref="J6:J7"/>
  </mergeCells>
  <hyperlinks>
    <hyperlink ref="B4" location="'01'!A1" display="01 Length" xr:uid="{00000000-0004-0000-1300-000000000000}"/>
    <hyperlink ref="B5" location="'02'!A1" display="02 Area (small)" xr:uid="{00000000-0004-0000-1300-000001000000}"/>
    <hyperlink ref="B6" location="'03'!A1" display="03 Area (large)" xr:uid="{00000000-0004-0000-1300-000002000000}"/>
    <hyperlink ref="B7" location="'04'!A1" display="04 Volume" xr:uid="{00000000-0004-0000-1300-000003000000}"/>
    <hyperlink ref="B8" location="'05'!A1" display="05 Velocity" xr:uid="{00000000-0004-0000-1300-000004000000}"/>
    <hyperlink ref="B9" location="'06'!A1" display="06 Volume flow" xr:uid="{00000000-0004-0000-1300-000005000000}"/>
    <hyperlink ref="B10" location="'07'!A1" display="07 Mass" xr:uid="{00000000-0004-0000-1300-000006000000}"/>
    <hyperlink ref="B11" location="'08'!A1" display="08 Density" xr:uid="{00000000-0004-0000-1300-000007000000}"/>
    <hyperlink ref="B12" location="'09'!A1" display="09 Mass flow" xr:uid="{00000000-0004-0000-1300-000008000000}"/>
    <hyperlink ref="B13" location="'10'!A1" display="10 Force" xr:uid="{00000000-0004-0000-1300-000009000000}"/>
    <hyperlink ref="B14" location="'11'!A1" display="11 Pressure" xr:uid="{00000000-0004-0000-1300-00000A000000}"/>
    <hyperlink ref="B15" location="'12'!A1" display="12 Energy" xr:uid="{00000000-0004-0000-1300-00000B000000}"/>
    <hyperlink ref="B16" location="'13'!A1" display="13 Calorific value" xr:uid="{00000000-0004-0000-1300-00000C000000}"/>
    <hyperlink ref="B17" location="'14'!A1" display="14 Gas price" xr:uid="{00000000-0004-0000-1300-00000D000000}"/>
    <hyperlink ref="B18" location="'15'!A1" display="15 Temperature" xr:uid="{00000000-0004-0000-1300-00000E000000}"/>
    <hyperlink ref="B19" location="'16'!A1" display="16 API gravity" xr:uid="{00000000-0004-0000-1300-00000F000000}"/>
    <hyperlink ref="B20" location="'17'!A1" display="17 BOE" xr:uid="{00000000-0004-0000-1300-000010000000}"/>
    <hyperlink ref="B21" location="'18'!A1" display="18 LNG" xr:uid="{00000000-0004-0000-1300-000011000000}"/>
    <hyperlink ref="B22" location="'19'!A1" display="19 Emissions" xr:uid="{00000000-0004-0000-1300-000012000000}"/>
    <hyperlink ref="B23" location="'20'!A1" display="20 SI prefixes" xr:uid="{00000000-0004-0000-1300-000013000000}"/>
    <hyperlink ref="B24" location="'21'!A1" display="21 ISO 6974" xr:uid="{00000000-0004-0000-1300-000014000000}"/>
    <hyperlink ref="B25" location="'22'!A1" display="22 SRK equation" xr:uid="{00000000-0004-0000-1300-000015000000}"/>
  </hyperlinks>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M56"/>
  <sheetViews>
    <sheetView showGridLines="0" workbookViewId="0">
      <selection activeCell="H25" sqref="H25"/>
    </sheetView>
  </sheetViews>
  <sheetFormatPr defaultRowHeight="14.4"/>
  <cols>
    <col min="1" max="1" width="3.21875" customWidth="1"/>
    <col min="2" max="2" width="19.88671875" customWidth="1"/>
    <col min="3" max="3" width="2.77734375" customWidth="1"/>
    <col min="4" max="4" width="11.109375" customWidth="1"/>
    <col min="5" max="5" width="13.77734375" customWidth="1"/>
    <col min="6" max="6" width="14.21875" style="202" customWidth="1"/>
    <col min="7" max="7" width="11.6640625" style="202" customWidth="1"/>
    <col min="8" max="8" width="32.44140625" style="202" customWidth="1"/>
    <col min="9" max="9" width="23" customWidth="1"/>
    <col min="10" max="13" width="11.6640625" customWidth="1"/>
  </cols>
  <sheetData>
    <row r="1" spans="2:13" ht="7.95" customHeight="1"/>
    <row r="2" spans="2:13" ht="60.45" customHeight="1">
      <c r="D2" s="56" t="s">
        <v>782</v>
      </c>
    </row>
    <row r="3" spans="2:13" ht="7.95" customHeight="1">
      <c r="F3" s="1"/>
      <c r="G3" s="1"/>
      <c r="H3" s="1"/>
      <c r="I3" s="1"/>
      <c r="J3" s="1"/>
      <c r="K3" s="1"/>
      <c r="L3" s="1"/>
      <c r="M3" s="1"/>
    </row>
    <row r="4" spans="2:13" ht="22.5" customHeight="1">
      <c r="B4" s="270" t="s">
        <v>763</v>
      </c>
      <c r="F4" s="1"/>
      <c r="G4" s="1"/>
      <c r="H4" s="1"/>
      <c r="I4" s="1"/>
      <c r="J4" s="1"/>
      <c r="K4" s="1"/>
      <c r="L4" s="1"/>
      <c r="M4" s="1"/>
    </row>
    <row r="5" spans="2:13" ht="22.5" customHeight="1" thickBot="1">
      <c r="B5" s="271" t="s">
        <v>764</v>
      </c>
    </row>
    <row r="6" spans="2:13" ht="22.5" customHeight="1" thickBot="1">
      <c r="B6" s="270" t="s">
        <v>765</v>
      </c>
      <c r="E6" s="291">
        <v>1E+18</v>
      </c>
      <c r="F6" s="292" t="s">
        <v>555</v>
      </c>
      <c r="G6" s="292" t="s">
        <v>556</v>
      </c>
      <c r="H6" s="293">
        <v>1E+18</v>
      </c>
      <c r="I6" s="292" t="s">
        <v>557</v>
      </c>
    </row>
    <row r="7" spans="2:13" ht="22.5" customHeight="1" thickBot="1">
      <c r="B7" s="271" t="s">
        <v>766</v>
      </c>
      <c r="E7" s="291">
        <v>1000000000000000</v>
      </c>
      <c r="F7" s="292" t="s">
        <v>558</v>
      </c>
      <c r="G7" s="292" t="s">
        <v>180</v>
      </c>
      <c r="H7" s="293">
        <v>1000000000000000</v>
      </c>
      <c r="I7" s="292" t="s">
        <v>559</v>
      </c>
    </row>
    <row r="8" spans="2:13" ht="22.5" customHeight="1" thickBot="1">
      <c r="B8" s="270" t="s">
        <v>767</v>
      </c>
      <c r="E8" s="291">
        <v>1000000000000</v>
      </c>
      <c r="F8" s="292" t="s">
        <v>560</v>
      </c>
      <c r="G8" s="292" t="s">
        <v>170</v>
      </c>
      <c r="H8" s="293">
        <v>1000000000000</v>
      </c>
      <c r="I8" s="292" t="s">
        <v>561</v>
      </c>
    </row>
    <row r="9" spans="2:13" ht="22.5" customHeight="1" thickBot="1">
      <c r="B9" s="271" t="s">
        <v>768</v>
      </c>
      <c r="E9" s="291">
        <v>1000000000</v>
      </c>
      <c r="F9" s="292" t="s">
        <v>562</v>
      </c>
      <c r="G9" s="292" t="s">
        <v>563</v>
      </c>
      <c r="H9" s="293">
        <v>1000000000</v>
      </c>
      <c r="I9" s="292" t="s">
        <v>564</v>
      </c>
    </row>
    <row r="10" spans="2:13" ht="22.5" customHeight="1" thickBot="1">
      <c r="B10" s="270" t="s">
        <v>769</v>
      </c>
      <c r="E10" s="291">
        <v>1000000</v>
      </c>
      <c r="F10" s="292" t="s">
        <v>565</v>
      </c>
      <c r="G10" s="292" t="s">
        <v>566</v>
      </c>
      <c r="H10" s="293">
        <v>1000000</v>
      </c>
      <c r="I10" s="292" t="s">
        <v>567</v>
      </c>
    </row>
    <row r="11" spans="2:13" ht="22.5" customHeight="1" thickBot="1">
      <c r="B11" s="271" t="s">
        <v>770</v>
      </c>
      <c r="E11" s="291">
        <v>1000</v>
      </c>
      <c r="F11" s="292" t="s">
        <v>568</v>
      </c>
      <c r="G11" s="292" t="s">
        <v>569</v>
      </c>
      <c r="H11" s="293">
        <v>1000</v>
      </c>
      <c r="I11" s="292" t="s">
        <v>570</v>
      </c>
    </row>
    <row r="12" spans="2:13" ht="22.5" customHeight="1" thickBot="1">
      <c r="B12" s="270" t="s">
        <v>771</v>
      </c>
      <c r="D12" s="48"/>
      <c r="E12" s="291">
        <v>100</v>
      </c>
      <c r="F12" s="292" t="s">
        <v>571</v>
      </c>
      <c r="G12" s="292" t="s">
        <v>572</v>
      </c>
      <c r="H12" s="292">
        <v>100</v>
      </c>
      <c r="I12" s="292" t="s">
        <v>573</v>
      </c>
    </row>
    <row r="13" spans="2:13" ht="22.5" customHeight="1" thickBot="1">
      <c r="B13" s="271" t="s">
        <v>772</v>
      </c>
      <c r="D13" s="48"/>
      <c r="E13" s="291">
        <v>10</v>
      </c>
      <c r="F13" s="292" t="s">
        <v>574</v>
      </c>
      <c r="G13" s="292" t="s">
        <v>575</v>
      </c>
      <c r="H13" s="292">
        <v>10</v>
      </c>
      <c r="I13" s="292" t="s">
        <v>576</v>
      </c>
    </row>
    <row r="14" spans="2:13" ht="22.5" customHeight="1" thickBot="1">
      <c r="B14" s="270" t="s">
        <v>773</v>
      </c>
      <c r="D14" s="48"/>
      <c r="E14" s="291">
        <v>0.1</v>
      </c>
      <c r="F14" s="292" t="s">
        <v>577</v>
      </c>
      <c r="G14" s="292" t="s">
        <v>578</v>
      </c>
      <c r="H14" s="292">
        <v>0.1</v>
      </c>
      <c r="I14" s="292" t="s">
        <v>579</v>
      </c>
    </row>
    <row r="15" spans="2:13" ht="22.5" customHeight="1" thickBot="1">
      <c r="B15" s="271" t="s">
        <v>774</v>
      </c>
      <c r="D15" s="48"/>
      <c r="E15" s="291">
        <v>0.01</v>
      </c>
      <c r="F15" s="292" t="s">
        <v>580</v>
      </c>
      <c r="G15" s="292" t="s">
        <v>581</v>
      </c>
      <c r="H15" s="292">
        <v>0.01</v>
      </c>
      <c r="I15" s="292" t="s">
        <v>582</v>
      </c>
    </row>
    <row r="16" spans="2:13" ht="22.5" customHeight="1" thickBot="1">
      <c r="B16" s="270" t="s">
        <v>775</v>
      </c>
      <c r="D16" s="48"/>
      <c r="E16" s="291">
        <v>1E-3</v>
      </c>
      <c r="F16" s="292" t="s">
        <v>583</v>
      </c>
      <c r="G16" s="292" t="s">
        <v>62</v>
      </c>
      <c r="H16" s="292">
        <v>1E-3</v>
      </c>
      <c r="I16" s="292" t="s">
        <v>584</v>
      </c>
    </row>
    <row r="17" spans="2:10" ht="22.5" customHeight="1" thickBot="1">
      <c r="B17" s="271" t="s">
        <v>776</v>
      </c>
      <c r="D17" s="48"/>
      <c r="E17" s="291">
        <v>9.9999999999999995E-7</v>
      </c>
      <c r="F17" s="292" t="s">
        <v>585</v>
      </c>
      <c r="G17" s="292"/>
      <c r="H17" s="292" t="s">
        <v>586</v>
      </c>
      <c r="I17" s="292" t="s">
        <v>587</v>
      </c>
    </row>
    <row r="18" spans="2:10" ht="22.5" customHeight="1" thickBot="1">
      <c r="B18" s="270" t="s">
        <v>777</v>
      </c>
      <c r="E18" s="291">
        <v>1.0000000000000001E-9</v>
      </c>
      <c r="F18" s="292" t="s">
        <v>588</v>
      </c>
      <c r="G18" s="292" t="s">
        <v>174</v>
      </c>
      <c r="H18" s="292" t="s">
        <v>589</v>
      </c>
      <c r="I18" s="292" t="s">
        <v>590</v>
      </c>
    </row>
    <row r="19" spans="2:10" ht="22.5" customHeight="1" thickBot="1">
      <c r="B19" s="271" t="s">
        <v>778</v>
      </c>
      <c r="E19" s="291">
        <v>9.9999999999999998E-13</v>
      </c>
      <c r="F19" s="292" t="s">
        <v>591</v>
      </c>
      <c r="G19" s="292" t="s">
        <v>592</v>
      </c>
      <c r="H19" s="292" t="s">
        <v>593</v>
      </c>
      <c r="I19" s="292" t="s">
        <v>594</v>
      </c>
    </row>
    <row r="20" spans="2:10" ht="22.5" customHeight="1" thickBot="1">
      <c r="B20" s="270" t="s">
        <v>779</v>
      </c>
      <c r="E20" s="291">
        <v>1.0000000000000001E-15</v>
      </c>
      <c r="F20" s="292" t="s">
        <v>595</v>
      </c>
      <c r="G20" s="292" t="s">
        <v>596</v>
      </c>
      <c r="H20" s="292" t="s">
        <v>597</v>
      </c>
      <c r="I20" s="292" t="s">
        <v>598</v>
      </c>
    </row>
    <row r="21" spans="2:10" ht="22.5" customHeight="1" thickBot="1">
      <c r="B21" s="271" t="s">
        <v>780</v>
      </c>
      <c r="E21" s="291">
        <v>1.0000000000000001E-18</v>
      </c>
      <c r="F21" s="292" t="s">
        <v>599</v>
      </c>
      <c r="G21" s="292" t="s">
        <v>600</v>
      </c>
      <c r="H21" s="292" t="s">
        <v>601</v>
      </c>
      <c r="I21" s="292" t="s">
        <v>602</v>
      </c>
    </row>
    <row r="22" spans="2:10" ht="22.5" customHeight="1">
      <c r="B22" s="270" t="s">
        <v>781</v>
      </c>
      <c r="E22" s="291">
        <v>1.0000000000000001E-18</v>
      </c>
      <c r="F22" s="292" t="s">
        <v>599</v>
      </c>
      <c r="G22" s="292" t="s">
        <v>600</v>
      </c>
      <c r="H22" s="292" t="s">
        <v>601</v>
      </c>
      <c r="I22" s="292" t="s">
        <v>602</v>
      </c>
    </row>
    <row r="23" spans="2:10" ht="22.5" customHeight="1">
      <c r="B23" s="271" t="s">
        <v>782</v>
      </c>
      <c r="E23" s="176"/>
    </row>
    <row r="24" spans="2:10" ht="22.5" customHeight="1">
      <c r="B24" s="270" t="s">
        <v>783</v>
      </c>
      <c r="E24" s="46" t="s">
        <v>794</v>
      </c>
      <c r="G24" s="46" t="s">
        <v>802</v>
      </c>
      <c r="J24" s="202"/>
    </row>
    <row r="25" spans="2:10" ht="22.5" customHeight="1">
      <c r="B25" s="271" t="s">
        <v>784</v>
      </c>
      <c r="E25" s="46" t="s">
        <v>795</v>
      </c>
      <c r="G25" s="46" t="s">
        <v>803</v>
      </c>
    </row>
    <row r="26" spans="2:10" ht="22.5" customHeight="1">
      <c r="G26" s="46" t="s">
        <v>804</v>
      </c>
    </row>
    <row r="27" spans="2:10" ht="22.5" customHeight="1">
      <c r="G27" s="46" t="s">
        <v>805</v>
      </c>
    </row>
    <row r="50" spans="5:13" hidden="1">
      <c r="F50" s="40">
        <v>2</v>
      </c>
      <c r="G50" s="41">
        <v>3</v>
      </c>
      <c r="H50" s="41">
        <v>4</v>
      </c>
      <c r="I50" s="41">
        <v>5</v>
      </c>
      <c r="J50" s="41">
        <v>6</v>
      </c>
      <c r="K50" s="41"/>
      <c r="L50" s="41">
        <v>7</v>
      </c>
      <c r="M50" s="41">
        <v>8</v>
      </c>
    </row>
    <row r="51" spans="5:13" ht="15" hidden="1" thickBot="1">
      <c r="F51" s="43" t="e">
        <f>VLOOKUP(#REF!,$E$7:$M$13,F50,FALSE)</f>
        <v>#REF!</v>
      </c>
      <c r="G51" s="44" t="e">
        <f>VLOOKUP(#REF!,$E$7:$M$13,G50,FALSE)</f>
        <v>#REF!</v>
      </c>
      <c r="H51" s="44" t="e">
        <f>VLOOKUP(#REF!,$E$7:$M$13,H50,FALSE)</f>
        <v>#REF!</v>
      </c>
      <c r="I51" s="44" t="e">
        <f>VLOOKUP(#REF!,$E$7:$M$13,I50,FALSE)</f>
        <v>#REF!</v>
      </c>
      <c r="J51" s="44" t="e">
        <f>VLOOKUP(#REF!,$E$7:$M$13,J50,FALSE)</f>
        <v>#REF!</v>
      </c>
      <c r="K51" s="44"/>
      <c r="L51" s="44" t="e">
        <f>VLOOKUP(#REF!,$E$7:$M$13,L50,FALSE)</f>
        <v>#REF!</v>
      </c>
      <c r="M51" s="44" t="e">
        <f>VLOOKUP(#REF!,$E$7:$M$13,M50,FALSE)</f>
        <v>#REF!</v>
      </c>
    </row>
    <row r="52" spans="5:13" hidden="1">
      <c r="E52" s="46"/>
      <c r="F52" s="40" t="s">
        <v>536</v>
      </c>
      <c r="G52" s="41" t="s">
        <v>537</v>
      </c>
      <c r="H52" s="41" t="s">
        <v>538</v>
      </c>
      <c r="I52" s="179" t="s">
        <v>543</v>
      </c>
    </row>
    <row r="53" spans="5:13" hidden="1">
      <c r="E53" s="186" t="s">
        <v>316</v>
      </c>
      <c r="F53" s="40">
        <v>1</v>
      </c>
      <c r="G53" s="41">
        <f>(D6*9/5)+32</f>
        <v>32</v>
      </c>
      <c r="H53" s="41">
        <f>F53+273.15</f>
        <v>274.14999999999998</v>
      </c>
      <c r="I53" s="179">
        <f>(D6+273.15)*9/5</f>
        <v>491.66999999999996</v>
      </c>
    </row>
    <row r="54" spans="5:13" hidden="1">
      <c r="E54" s="187" t="s">
        <v>539</v>
      </c>
      <c r="F54" s="203">
        <f>(D6-32)*5/9</f>
        <v>-17.777777777777779</v>
      </c>
      <c r="G54" s="204">
        <v>1</v>
      </c>
      <c r="H54" s="204">
        <f>(D6+459.67)*5/9</f>
        <v>255.37222222222221</v>
      </c>
      <c r="I54" s="181">
        <f>D6+459.67</f>
        <v>459.67</v>
      </c>
    </row>
    <row r="55" spans="5:13" hidden="1">
      <c r="E55" s="187" t="s">
        <v>540</v>
      </c>
      <c r="F55" s="203">
        <f>D6-273.15</f>
        <v>-273.14999999999998</v>
      </c>
      <c r="G55" s="204">
        <f>(D6*9/5)-459.67</f>
        <v>-459.67</v>
      </c>
      <c r="H55" s="204">
        <v>1</v>
      </c>
      <c r="I55" s="181">
        <f>D6*9/5</f>
        <v>0</v>
      </c>
    </row>
    <row r="56" spans="5:13" ht="15" hidden="1" thickBot="1">
      <c r="E56" s="188" t="s">
        <v>544</v>
      </c>
      <c r="F56" s="43">
        <f>(D6-491.67)*5/9</f>
        <v>-273.14999999999998</v>
      </c>
      <c r="G56" s="44">
        <f>D6-459.67</f>
        <v>-459.67</v>
      </c>
      <c r="H56" s="44">
        <f>D6*5/9</f>
        <v>0</v>
      </c>
      <c r="I56" s="183">
        <v>1</v>
      </c>
    </row>
  </sheetData>
  <hyperlinks>
    <hyperlink ref="B4" location="'01'!A1" display="01 Length" xr:uid="{00000000-0004-0000-1400-000000000000}"/>
    <hyperlink ref="B5" location="'02'!A1" display="02 Area (small)" xr:uid="{00000000-0004-0000-1400-000001000000}"/>
    <hyperlink ref="B6" location="'03'!A1" display="03 Area (large)" xr:uid="{00000000-0004-0000-1400-000002000000}"/>
    <hyperlink ref="B7" location="'04'!A1" display="04 Volume" xr:uid="{00000000-0004-0000-1400-000003000000}"/>
    <hyperlink ref="B8" location="'05'!A1" display="05 Velocity" xr:uid="{00000000-0004-0000-1400-000004000000}"/>
    <hyperlink ref="B9" location="'06'!A1" display="06 Volume flow" xr:uid="{00000000-0004-0000-1400-000005000000}"/>
    <hyperlink ref="B10" location="'07'!A1" display="07 Mass" xr:uid="{00000000-0004-0000-1400-000006000000}"/>
    <hyperlink ref="B11" location="'08'!A1" display="08 Density" xr:uid="{00000000-0004-0000-1400-000007000000}"/>
    <hyperlink ref="B12" location="'09'!A1" display="09 Mass flow" xr:uid="{00000000-0004-0000-1400-000008000000}"/>
    <hyperlink ref="B13" location="'10'!A1" display="10 Force" xr:uid="{00000000-0004-0000-1400-000009000000}"/>
    <hyperlink ref="B14" location="'11'!A1" display="11 Pressure" xr:uid="{00000000-0004-0000-1400-00000A000000}"/>
    <hyperlink ref="B15" location="'12'!A1" display="12 Energy" xr:uid="{00000000-0004-0000-1400-00000B000000}"/>
    <hyperlink ref="B16" location="'13'!A1" display="13 Calorific value" xr:uid="{00000000-0004-0000-1400-00000C000000}"/>
    <hyperlink ref="B17" location="'14'!A1" display="14 Gas price" xr:uid="{00000000-0004-0000-1400-00000D000000}"/>
    <hyperlink ref="B18" location="'15'!A1" display="15 Temperature" xr:uid="{00000000-0004-0000-1400-00000E000000}"/>
    <hyperlink ref="B19" location="'16'!A1" display="16 API gravity" xr:uid="{00000000-0004-0000-1400-00000F000000}"/>
    <hyperlink ref="B20" location="'17'!A1" display="17 BOE" xr:uid="{00000000-0004-0000-1400-000010000000}"/>
    <hyperlink ref="B21" location="'18'!A1" display="18 LNG" xr:uid="{00000000-0004-0000-1400-000011000000}"/>
    <hyperlink ref="B22" location="'19'!A1" display="19 Emissions" xr:uid="{00000000-0004-0000-1400-000012000000}"/>
    <hyperlink ref="B23" location="'20'!A1" display="20 SI prefixes" xr:uid="{00000000-0004-0000-1400-000013000000}"/>
    <hyperlink ref="B24" location="'21'!A1" display="21 ISO 6974" xr:uid="{00000000-0004-0000-1400-000014000000}"/>
    <hyperlink ref="B25" location="'22'!A1" display="22 SRK equation" xr:uid="{00000000-0004-0000-1400-000015000000}"/>
  </hyperlinks>
  <pageMargins left="0.7" right="0.7" top="0.75" bottom="0.75" header="0.3" footer="0.3"/>
  <pageSetup paperSize="9"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pageSetUpPr fitToPage="1"/>
  </sheetPr>
  <dimension ref="A1:T98"/>
  <sheetViews>
    <sheetView showGridLines="0" zoomScaleNormal="100" workbookViewId="0">
      <selection activeCell="B25" sqref="B25"/>
    </sheetView>
  </sheetViews>
  <sheetFormatPr defaultColWidth="13.77734375" defaultRowHeight="13.2"/>
  <cols>
    <col min="1" max="1" width="3.21875" style="59" customWidth="1"/>
    <col min="2" max="2" width="19.88671875" style="59" customWidth="1"/>
    <col min="3" max="3" width="2.77734375" style="59" customWidth="1"/>
    <col min="4" max="4" width="20.77734375" style="59" customWidth="1"/>
    <col min="5" max="5" width="7.21875" style="59" customWidth="1"/>
    <col min="6" max="6" width="12.5546875" style="59" customWidth="1"/>
    <col min="7" max="7" width="5.109375" style="59" customWidth="1"/>
    <col min="8" max="8" width="18.21875" style="59" customWidth="1"/>
    <col min="9" max="19" width="14.21875" style="59" customWidth="1"/>
    <col min="20" max="16384" width="13.77734375" style="59"/>
  </cols>
  <sheetData>
    <row r="1" spans="2:20" ht="7.95" customHeight="1">
      <c r="B1"/>
    </row>
    <row r="2" spans="2:20" ht="60.45" customHeight="1">
      <c r="B2"/>
      <c r="D2" s="56" t="s">
        <v>274</v>
      </c>
      <c r="G2" s="70"/>
      <c r="H2" s="69"/>
      <c r="I2" s="69"/>
      <c r="J2" s="69"/>
      <c r="K2" s="69"/>
      <c r="L2" s="69"/>
      <c r="M2" s="69"/>
      <c r="N2" s="69"/>
      <c r="O2" s="69"/>
      <c r="P2" s="69"/>
      <c r="Q2" s="69"/>
      <c r="R2" s="69"/>
      <c r="S2" s="69"/>
      <c r="T2" s="69"/>
    </row>
    <row r="3" spans="2:20" ht="8.5500000000000007" customHeight="1" thickBot="1">
      <c r="B3"/>
      <c r="D3" s="56"/>
      <c r="G3" s="70"/>
      <c r="H3" s="69"/>
      <c r="I3" s="69"/>
      <c r="J3" s="69"/>
      <c r="K3" s="69"/>
      <c r="L3" s="69"/>
      <c r="M3" s="69"/>
      <c r="N3" s="69"/>
      <c r="O3" s="69"/>
      <c r="P3" s="69"/>
      <c r="Q3" s="69"/>
      <c r="R3" s="69"/>
      <c r="S3" s="69"/>
      <c r="T3" s="69"/>
    </row>
    <row r="4" spans="2:20" ht="22.5" customHeight="1">
      <c r="B4" s="270" t="s">
        <v>763</v>
      </c>
      <c r="D4" s="136" t="s">
        <v>260</v>
      </c>
      <c r="E4" s="137"/>
      <c r="F4" s="138" t="s">
        <v>259</v>
      </c>
      <c r="G4" s="135"/>
      <c r="H4" s="163" t="s">
        <v>331</v>
      </c>
      <c r="I4" s="139"/>
      <c r="J4" s="139"/>
      <c r="N4" s="70"/>
      <c r="O4" s="69"/>
      <c r="P4" s="69"/>
      <c r="Q4" s="69"/>
      <c r="R4" s="69"/>
      <c r="S4" s="69"/>
      <c r="T4" s="69"/>
    </row>
    <row r="5" spans="2:20" s="135" customFormat="1" ht="22.5" customHeight="1">
      <c r="B5" s="271" t="s">
        <v>764</v>
      </c>
      <c r="D5" s="140" t="s">
        <v>243</v>
      </c>
      <c r="E5" s="141" t="s">
        <v>245</v>
      </c>
      <c r="F5" s="170">
        <v>0.82050000000000001</v>
      </c>
      <c r="G5" s="142"/>
      <c r="H5" s="143" t="s">
        <v>272</v>
      </c>
      <c r="I5" s="144">
        <f>(Q84/I6)/1000</f>
        <v>45.867017472983676</v>
      </c>
      <c r="J5" s="145" t="s">
        <v>332</v>
      </c>
      <c r="R5" s="139"/>
      <c r="S5" s="139"/>
      <c r="T5" s="139"/>
    </row>
    <row r="6" spans="2:20" s="135" customFormat="1" ht="22.5" customHeight="1">
      <c r="B6" s="270" t="s">
        <v>765</v>
      </c>
      <c r="D6" s="146" t="s">
        <v>240</v>
      </c>
      <c r="E6" s="147" t="s">
        <v>242</v>
      </c>
      <c r="F6" s="171">
        <v>8.6999999999999994E-2</v>
      </c>
      <c r="G6" s="142"/>
      <c r="H6" s="143" t="s">
        <v>269</v>
      </c>
      <c r="I6" s="148">
        <f>(1-(T84^2)+(0.0005*(2*F74-F74^2)))</f>
        <v>0.99640226284430045</v>
      </c>
      <c r="J6" s="148"/>
      <c r="R6" s="139"/>
      <c r="S6" s="139"/>
      <c r="T6" s="139"/>
    </row>
    <row r="7" spans="2:20" s="135" customFormat="1" ht="22.5" customHeight="1">
      <c r="B7" s="271" t="s">
        <v>766</v>
      </c>
      <c r="D7" s="146" t="s">
        <v>237</v>
      </c>
      <c r="E7" s="147" t="s">
        <v>239</v>
      </c>
      <c r="F7" s="171">
        <v>3.2500000000000001E-2</v>
      </c>
      <c r="G7" s="142"/>
      <c r="H7" s="143" t="s">
        <v>265</v>
      </c>
      <c r="I7" s="148">
        <f>(R84*(0.99958/I6))</f>
        <v>0.71483820237539952</v>
      </c>
      <c r="J7" s="148"/>
      <c r="K7" s="139"/>
      <c r="L7" s="139"/>
      <c r="M7" s="139"/>
      <c r="N7" s="149"/>
      <c r="O7" s="139"/>
      <c r="P7" s="139"/>
      <c r="Q7" s="139"/>
      <c r="R7" s="139"/>
      <c r="S7" s="139"/>
      <c r="T7" s="139"/>
    </row>
    <row r="8" spans="2:20" s="135" customFormat="1" ht="22.5" customHeight="1">
      <c r="B8" s="270" t="s">
        <v>767</v>
      </c>
      <c r="D8" s="146" t="s">
        <v>235</v>
      </c>
      <c r="E8" s="147" t="s">
        <v>236</v>
      </c>
      <c r="F8" s="171">
        <v>9.7000000000000003E-3</v>
      </c>
      <c r="G8" s="142"/>
      <c r="H8" s="143" t="s">
        <v>264</v>
      </c>
      <c r="I8" s="148">
        <f>(S84/I6)</f>
        <v>0.87602455609476737</v>
      </c>
      <c r="J8" s="143" t="s">
        <v>333</v>
      </c>
      <c r="K8" s="47"/>
      <c r="L8" s="47"/>
      <c r="M8" s="47"/>
      <c r="N8" s="47"/>
      <c r="O8" s="47"/>
      <c r="P8" s="47"/>
      <c r="Q8" s="139"/>
      <c r="R8" s="139"/>
      <c r="S8" s="139"/>
      <c r="T8" s="139"/>
    </row>
    <row r="9" spans="2:20" s="135" customFormat="1" ht="22.5" customHeight="1">
      <c r="B9" s="271" t="s">
        <v>768</v>
      </c>
      <c r="D9" s="150" t="s">
        <v>232</v>
      </c>
      <c r="E9" s="151" t="s">
        <v>234</v>
      </c>
      <c r="F9" s="171">
        <v>5.5999999999999999E-3</v>
      </c>
      <c r="G9" s="142"/>
      <c r="H9" s="143" t="s">
        <v>262</v>
      </c>
      <c r="I9" s="152">
        <f>((I8)*(S86)*(15+273.15)*(I6))/1.01325</f>
        <v>20.63778182780592</v>
      </c>
      <c r="J9" s="153"/>
      <c r="K9" s="139"/>
      <c r="L9" s="139"/>
      <c r="M9" s="139"/>
      <c r="N9" s="149"/>
      <c r="O9" s="139"/>
      <c r="P9" s="139"/>
      <c r="Q9" s="139"/>
      <c r="R9" s="139"/>
      <c r="S9" s="139"/>
      <c r="T9" s="139"/>
    </row>
    <row r="10" spans="2:20" s="135" customFormat="1" ht="22.5" customHeight="1">
      <c r="B10" s="270" t="s">
        <v>769</v>
      </c>
      <c r="D10" s="150" t="s">
        <v>230</v>
      </c>
      <c r="E10" s="151" t="s">
        <v>231</v>
      </c>
      <c r="F10" s="171">
        <v>3.3999999999999998E-3</v>
      </c>
      <c r="G10" s="153"/>
      <c r="H10" s="143" t="s">
        <v>261</v>
      </c>
      <c r="I10" s="154">
        <f>((I8)/(I9))</f>
        <v>4.2447612025555595E-2</v>
      </c>
      <c r="J10" s="153"/>
      <c r="K10" s="139"/>
      <c r="L10" s="139"/>
      <c r="M10" s="139"/>
      <c r="N10" s="149"/>
      <c r="O10" s="139"/>
      <c r="P10" s="139"/>
      <c r="Q10" s="139"/>
      <c r="R10" s="139"/>
      <c r="S10" s="139"/>
      <c r="T10" s="139"/>
    </row>
    <row r="11" spans="2:20" s="135" customFormat="1" ht="22.5" customHeight="1">
      <c r="B11" s="271" t="s">
        <v>770</v>
      </c>
      <c r="D11" s="150" t="s">
        <v>228</v>
      </c>
      <c r="E11" s="151" t="s">
        <v>229</v>
      </c>
      <c r="F11" s="171">
        <v>3.0999999999999999E-3</v>
      </c>
      <c r="G11" s="153"/>
      <c r="H11" s="153"/>
      <c r="I11" s="153"/>
      <c r="J11" s="153"/>
      <c r="K11" s="139"/>
      <c r="L11" s="139"/>
      <c r="M11" s="139"/>
      <c r="N11" s="139"/>
      <c r="O11" s="139"/>
      <c r="P11" s="139"/>
      <c r="Q11" s="139"/>
      <c r="R11" s="139"/>
      <c r="S11" s="139"/>
      <c r="T11" s="139"/>
    </row>
    <row r="12" spans="2:20" s="135" customFormat="1" ht="22.5" customHeight="1">
      <c r="B12" s="270" t="s">
        <v>771</v>
      </c>
      <c r="D12" s="150" t="s">
        <v>226</v>
      </c>
      <c r="E12" s="151"/>
      <c r="F12" s="171"/>
      <c r="G12" s="153"/>
      <c r="H12" s="142"/>
      <c r="I12" s="155"/>
      <c r="J12" s="155"/>
      <c r="K12" s="139"/>
      <c r="L12" s="139"/>
      <c r="M12" s="139"/>
      <c r="N12" s="139"/>
      <c r="O12" s="139"/>
      <c r="P12" s="139"/>
      <c r="Q12" s="139"/>
      <c r="R12" s="139"/>
      <c r="S12" s="139"/>
      <c r="T12" s="139"/>
    </row>
    <row r="13" spans="2:20" s="135" customFormat="1" ht="22.5" customHeight="1">
      <c r="B13" s="271" t="s">
        <v>772</v>
      </c>
      <c r="D13" s="146" t="s">
        <v>224</v>
      </c>
      <c r="E13" s="147" t="s">
        <v>225</v>
      </c>
      <c r="F13" s="171">
        <v>3.8E-3</v>
      </c>
      <c r="G13" s="153"/>
      <c r="H13" s="156" t="s">
        <v>273</v>
      </c>
      <c r="I13" s="153"/>
      <c r="J13" s="153"/>
      <c r="L13" s="149"/>
      <c r="O13" s="139"/>
      <c r="P13" s="139"/>
      <c r="Q13" s="139"/>
      <c r="R13" s="139"/>
      <c r="S13" s="139"/>
      <c r="T13" s="139"/>
    </row>
    <row r="14" spans="2:20" s="135" customFormat="1" ht="22.5" customHeight="1">
      <c r="B14" s="270" t="s">
        <v>773</v>
      </c>
      <c r="D14" s="146" t="s">
        <v>223</v>
      </c>
      <c r="E14" s="147"/>
      <c r="F14" s="171"/>
      <c r="G14" s="153"/>
      <c r="H14" s="143" t="s">
        <v>179</v>
      </c>
      <c r="I14" s="173">
        <v>121</v>
      </c>
      <c r="J14" s="145" t="s">
        <v>271</v>
      </c>
      <c r="L14" s="149"/>
      <c r="O14" s="139"/>
      <c r="P14" s="139"/>
      <c r="Q14" s="139"/>
      <c r="R14" s="139"/>
      <c r="S14" s="139"/>
      <c r="T14" s="139"/>
    </row>
    <row r="15" spans="2:20" s="135" customFormat="1" ht="22.5" customHeight="1">
      <c r="B15" s="271" t="s">
        <v>774</v>
      </c>
      <c r="D15" s="146" t="s">
        <v>222</v>
      </c>
      <c r="E15" s="147"/>
      <c r="F15" s="171"/>
      <c r="G15" s="153"/>
      <c r="H15" s="143" t="s">
        <v>268</v>
      </c>
      <c r="I15" s="174">
        <v>6</v>
      </c>
      <c r="J15" s="145" t="s">
        <v>267</v>
      </c>
      <c r="L15" s="149"/>
      <c r="O15" s="139"/>
      <c r="P15" s="139"/>
      <c r="Q15" s="139"/>
      <c r="R15" s="139"/>
      <c r="S15" s="139"/>
      <c r="T15" s="139"/>
    </row>
    <row r="16" spans="2:20" s="135" customFormat="1" ht="22.5" customHeight="1">
      <c r="B16" s="270" t="s">
        <v>775</v>
      </c>
      <c r="D16" s="146" t="s">
        <v>221</v>
      </c>
      <c r="E16" s="147"/>
      <c r="F16" s="171"/>
      <c r="G16" s="153"/>
      <c r="H16" s="143" t="s">
        <v>270</v>
      </c>
      <c r="I16" s="157">
        <f>((S86)*((I15)+272.15)*(I6)*(I10)/(I14))</f>
        <v>8.083355561196175E-3</v>
      </c>
      <c r="J16" s="143" t="s">
        <v>334</v>
      </c>
      <c r="L16" s="149"/>
      <c r="O16" s="139"/>
      <c r="P16" s="139"/>
      <c r="Q16" s="139"/>
      <c r="R16" s="139"/>
      <c r="S16" s="139"/>
      <c r="T16" s="139"/>
    </row>
    <row r="17" spans="2:20" s="135" customFormat="1" ht="22.5" customHeight="1">
      <c r="B17" s="271" t="s">
        <v>776</v>
      </c>
      <c r="D17" s="150" t="s">
        <v>219</v>
      </c>
      <c r="E17" s="151"/>
      <c r="F17" s="171"/>
      <c r="G17" s="153"/>
      <c r="H17" s="143" t="s">
        <v>266</v>
      </c>
      <c r="I17" s="153">
        <f>(1/(I16))</f>
        <v>123.71100002088984</v>
      </c>
      <c r="J17" s="143" t="s">
        <v>333</v>
      </c>
      <c r="L17" s="149"/>
      <c r="O17" s="139"/>
      <c r="P17" s="139"/>
      <c r="Q17" s="139"/>
      <c r="R17" s="139"/>
      <c r="S17" s="139"/>
      <c r="T17" s="139"/>
    </row>
    <row r="18" spans="2:20" s="135" customFormat="1" ht="22.5" customHeight="1">
      <c r="B18" s="270" t="s">
        <v>777</v>
      </c>
      <c r="D18" s="150" t="s">
        <v>217</v>
      </c>
      <c r="E18" s="151" t="s">
        <v>218</v>
      </c>
      <c r="F18" s="171">
        <v>5.3E-3</v>
      </c>
      <c r="G18" s="153"/>
      <c r="H18" s="153" t="s">
        <v>263</v>
      </c>
      <c r="I18" s="153"/>
      <c r="J18" s="153"/>
      <c r="L18" s="149"/>
      <c r="O18" s="139"/>
      <c r="P18" s="139"/>
      <c r="Q18" s="139"/>
      <c r="R18" s="139"/>
      <c r="S18" s="139"/>
      <c r="T18" s="139"/>
    </row>
    <row r="19" spans="2:20" s="135" customFormat="1" ht="22.5" customHeight="1">
      <c r="B19" s="271" t="s">
        <v>778</v>
      </c>
      <c r="D19" s="150" t="s">
        <v>216</v>
      </c>
      <c r="E19" s="151"/>
      <c r="F19" s="171"/>
      <c r="G19" s="153"/>
      <c r="H19" s="153"/>
      <c r="I19" s="153"/>
      <c r="J19" s="153"/>
      <c r="K19" s="139"/>
      <c r="L19" s="139"/>
      <c r="M19" s="139"/>
      <c r="N19" s="139"/>
      <c r="O19" s="139"/>
      <c r="P19" s="139"/>
      <c r="Q19" s="139"/>
      <c r="R19" s="139"/>
      <c r="S19" s="139"/>
      <c r="T19" s="139"/>
    </row>
    <row r="20" spans="2:20" s="135" customFormat="1" ht="22.5" customHeight="1">
      <c r="B20" s="270" t="s">
        <v>779</v>
      </c>
      <c r="D20" s="150" t="s">
        <v>214</v>
      </c>
      <c r="E20" s="151"/>
      <c r="F20" s="171"/>
      <c r="G20" s="153"/>
      <c r="H20" s="153"/>
      <c r="I20" s="153"/>
      <c r="J20" s="153"/>
      <c r="K20" s="139"/>
      <c r="L20" s="139"/>
      <c r="M20" s="139"/>
      <c r="N20" s="139"/>
      <c r="O20" s="139"/>
      <c r="P20" s="139"/>
      <c r="Q20" s="139"/>
      <c r="R20" s="139"/>
      <c r="S20" s="139"/>
      <c r="T20" s="139"/>
    </row>
    <row r="21" spans="2:20" s="135" customFormat="1" ht="22.5" customHeight="1">
      <c r="B21" s="271" t="s">
        <v>780</v>
      </c>
      <c r="D21" s="146" t="s">
        <v>212</v>
      </c>
      <c r="E21" s="147" t="s">
        <v>213</v>
      </c>
      <c r="F21" s="171">
        <v>5.8999999999999999E-3</v>
      </c>
      <c r="G21" s="153"/>
      <c r="H21" s="153"/>
      <c r="I21" s="153"/>
      <c r="J21" s="153"/>
      <c r="K21" s="139"/>
      <c r="L21" s="139"/>
      <c r="M21" s="139"/>
      <c r="N21" s="139"/>
      <c r="O21" s="139"/>
      <c r="P21" s="139"/>
      <c r="Q21" s="139"/>
      <c r="R21" s="139"/>
      <c r="S21" s="139"/>
      <c r="T21" s="139"/>
    </row>
    <row r="22" spans="2:20" s="135" customFormat="1" ht="22.5" customHeight="1">
      <c r="B22" s="270" t="s">
        <v>781</v>
      </c>
      <c r="D22" s="146" t="s">
        <v>210</v>
      </c>
      <c r="E22" s="147"/>
      <c r="F22" s="171"/>
      <c r="G22" s="153"/>
      <c r="H22" s="153"/>
      <c r="I22" s="153"/>
      <c r="J22" s="153"/>
      <c r="K22" s="139"/>
      <c r="L22" s="139"/>
      <c r="M22" s="139"/>
      <c r="N22" s="139"/>
      <c r="O22" s="139"/>
      <c r="P22" s="139"/>
      <c r="Q22" s="139"/>
      <c r="R22" s="139"/>
      <c r="S22" s="139"/>
      <c r="T22" s="139"/>
    </row>
    <row r="23" spans="2:20" s="135" customFormat="1" ht="22.5" customHeight="1">
      <c r="B23" s="271" t="s">
        <v>782</v>
      </c>
      <c r="D23" s="146" t="s">
        <v>208</v>
      </c>
      <c r="E23" s="147" t="s">
        <v>209</v>
      </c>
      <c r="F23" s="171"/>
      <c r="G23" s="153"/>
      <c r="H23" s="153"/>
      <c r="I23" s="153"/>
      <c r="J23" s="153"/>
      <c r="K23" s="139"/>
      <c r="L23" s="139"/>
      <c r="M23" s="139"/>
      <c r="N23" s="139"/>
      <c r="O23" s="139"/>
      <c r="P23" s="139"/>
      <c r="Q23" s="139"/>
      <c r="R23" s="139"/>
      <c r="S23" s="139"/>
      <c r="T23" s="139"/>
    </row>
    <row r="24" spans="2:20" s="135" customFormat="1" ht="22.5" customHeight="1">
      <c r="B24" s="270" t="s">
        <v>783</v>
      </c>
      <c r="D24" s="146" t="s">
        <v>206</v>
      </c>
      <c r="E24" s="147"/>
      <c r="F24" s="171"/>
      <c r="G24" s="153"/>
      <c r="H24" s="153"/>
      <c r="I24" s="153"/>
      <c r="J24" s="153"/>
      <c r="K24" s="139"/>
      <c r="L24" s="139"/>
      <c r="M24" s="139"/>
      <c r="N24" s="139"/>
      <c r="O24" s="139"/>
      <c r="P24" s="139"/>
      <c r="Q24" s="139"/>
      <c r="R24" s="139"/>
      <c r="S24" s="139"/>
      <c r="T24" s="139"/>
    </row>
    <row r="25" spans="2:20" s="135" customFormat="1" ht="22.5" customHeight="1">
      <c r="B25" s="271" t="s">
        <v>784</v>
      </c>
      <c r="D25" s="150" t="s">
        <v>204</v>
      </c>
      <c r="E25" s="151" t="s">
        <v>205</v>
      </c>
      <c r="F25" s="171"/>
      <c r="G25" s="153"/>
      <c r="H25" s="153"/>
      <c r="I25" s="153"/>
      <c r="J25" s="153"/>
      <c r="K25" s="139"/>
      <c r="L25" s="139"/>
      <c r="M25" s="139"/>
      <c r="N25" s="139"/>
      <c r="O25" s="139"/>
      <c r="P25" s="139"/>
      <c r="Q25" s="139"/>
      <c r="R25" s="139"/>
      <c r="S25" s="139"/>
      <c r="T25" s="139"/>
    </row>
    <row r="26" spans="2:20" s="135" customFormat="1" ht="22.5" customHeight="1">
      <c r="D26" s="150" t="s">
        <v>202</v>
      </c>
      <c r="E26" s="151" t="s">
        <v>203</v>
      </c>
      <c r="F26" s="171"/>
      <c r="G26" s="153"/>
      <c r="H26" s="153"/>
      <c r="I26" s="153"/>
      <c r="J26" s="153"/>
      <c r="K26" s="139"/>
      <c r="L26" s="139"/>
      <c r="M26" s="139"/>
      <c r="N26" s="139"/>
      <c r="O26" s="139"/>
      <c r="P26" s="139"/>
      <c r="Q26" s="139"/>
      <c r="R26" s="139"/>
      <c r="S26" s="139"/>
      <c r="T26" s="139"/>
    </row>
    <row r="27" spans="2:20" s="135" customFormat="1" ht="22.5" customHeight="1">
      <c r="D27" s="150" t="s">
        <v>200</v>
      </c>
      <c r="E27" s="151" t="s">
        <v>201</v>
      </c>
      <c r="F27" s="171"/>
      <c r="G27" s="153"/>
      <c r="H27" s="153"/>
      <c r="I27" s="153"/>
      <c r="J27" s="153"/>
      <c r="K27" s="139"/>
      <c r="L27" s="139"/>
      <c r="M27" s="139"/>
      <c r="N27" s="139"/>
      <c r="O27" s="139"/>
      <c r="P27" s="139"/>
      <c r="Q27" s="139"/>
      <c r="R27" s="139"/>
      <c r="S27" s="139"/>
      <c r="T27" s="139"/>
    </row>
    <row r="28" spans="2:20" s="135" customFormat="1" ht="22.5" customHeight="1">
      <c r="D28" s="150" t="s">
        <v>198</v>
      </c>
      <c r="E28" s="151" t="s">
        <v>199</v>
      </c>
      <c r="F28" s="171"/>
      <c r="G28" s="153"/>
      <c r="H28" s="153"/>
      <c r="I28" s="153"/>
      <c r="J28" s="153"/>
      <c r="K28" s="139"/>
      <c r="L28" s="139"/>
      <c r="M28" s="139"/>
      <c r="N28" s="139"/>
      <c r="O28" s="139"/>
      <c r="P28" s="139"/>
      <c r="Q28" s="139"/>
      <c r="R28" s="139"/>
      <c r="S28" s="139"/>
      <c r="T28" s="139"/>
    </row>
    <row r="29" spans="2:20" s="135" customFormat="1" ht="22.5" customHeight="1">
      <c r="D29" s="146" t="s">
        <v>196</v>
      </c>
      <c r="E29" s="147" t="s">
        <v>197</v>
      </c>
      <c r="F29" s="171"/>
      <c r="G29" s="153"/>
      <c r="H29" s="153"/>
      <c r="I29" s="153"/>
      <c r="J29" s="153"/>
      <c r="K29" s="139"/>
      <c r="L29" s="139"/>
      <c r="M29" s="139"/>
      <c r="N29" s="139"/>
      <c r="O29" s="139"/>
      <c r="P29" s="139"/>
      <c r="Q29" s="139"/>
      <c r="R29" s="139"/>
      <c r="S29" s="139"/>
      <c r="T29" s="139"/>
    </row>
    <row r="30" spans="2:20" s="135" customFormat="1" ht="22.5" customHeight="1">
      <c r="D30" s="146" t="s">
        <v>194</v>
      </c>
      <c r="E30" s="147" t="s">
        <v>195</v>
      </c>
      <c r="F30" s="171" t="s">
        <v>187</v>
      </c>
      <c r="G30" s="153"/>
      <c r="H30" s="153"/>
      <c r="I30" s="153"/>
      <c r="J30" s="153"/>
      <c r="K30" s="139"/>
      <c r="L30" s="139"/>
      <c r="M30" s="139"/>
      <c r="N30" s="139"/>
      <c r="O30" s="139"/>
      <c r="P30" s="139"/>
      <c r="Q30" s="139"/>
      <c r="R30" s="139"/>
      <c r="S30" s="139"/>
      <c r="T30" s="139"/>
    </row>
    <row r="31" spans="2:20" s="135" customFormat="1" ht="22.5" customHeight="1">
      <c r="D31" s="146" t="s">
        <v>193</v>
      </c>
      <c r="E31" s="147" t="s">
        <v>181</v>
      </c>
      <c r="F31" s="171"/>
      <c r="G31" s="153"/>
      <c r="H31" s="153"/>
      <c r="I31" s="153"/>
      <c r="J31" s="153"/>
      <c r="K31" s="139"/>
      <c r="L31" s="139"/>
      <c r="M31" s="139"/>
      <c r="N31" s="139"/>
      <c r="O31" s="139"/>
      <c r="P31" s="139"/>
      <c r="Q31" s="139"/>
      <c r="R31" s="139"/>
      <c r="S31" s="139"/>
      <c r="T31" s="139"/>
    </row>
    <row r="32" spans="2:20" s="135" customFormat="1" ht="22.5" customHeight="1">
      <c r="D32" s="146" t="s">
        <v>192</v>
      </c>
      <c r="E32" s="147" t="s">
        <v>184</v>
      </c>
      <c r="F32" s="171">
        <v>6.7000000000000002E-3</v>
      </c>
      <c r="G32" s="153"/>
      <c r="H32" s="153"/>
      <c r="I32" s="153"/>
      <c r="J32" s="153"/>
      <c r="K32" s="139"/>
      <c r="L32" s="139"/>
      <c r="M32" s="139"/>
      <c r="N32" s="139"/>
      <c r="O32" s="139"/>
      <c r="P32" s="139"/>
      <c r="Q32" s="139"/>
      <c r="R32" s="139"/>
      <c r="S32" s="139"/>
      <c r="T32" s="139"/>
    </row>
    <row r="33" spans="2:20" s="135" customFormat="1" ht="22.5" customHeight="1">
      <c r="D33" s="150" t="s">
        <v>191</v>
      </c>
      <c r="E33" s="151" t="s">
        <v>183</v>
      </c>
      <c r="F33" s="171"/>
      <c r="G33" s="153"/>
      <c r="H33" s="153"/>
      <c r="I33" s="153"/>
      <c r="J33" s="153"/>
      <c r="K33" s="139"/>
      <c r="L33" s="139"/>
      <c r="M33" s="139"/>
      <c r="N33" s="139"/>
      <c r="O33" s="139"/>
      <c r="P33" s="139"/>
      <c r="Q33" s="139"/>
      <c r="R33" s="139"/>
      <c r="S33" s="139"/>
      <c r="T33" s="139"/>
    </row>
    <row r="34" spans="2:20" s="135" customFormat="1" ht="22.5" customHeight="1">
      <c r="D34" s="150" t="s">
        <v>190</v>
      </c>
      <c r="E34" s="151" t="s">
        <v>177</v>
      </c>
      <c r="F34" s="171">
        <v>7.9000000000000008E-3</v>
      </c>
      <c r="G34" s="153"/>
      <c r="H34" s="153"/>
      <c r="I34" s="153"/>
      <c r="J34" s="153"/>
      <c r="K34" s="139"/>
      <c r="L34" s="139"/>
      <c r="M34" s="139"/>
      <c r="N34" s="139"/>
      <c r="O34" s="139"/>
      <c r="P34" s="139"/>
      <c r="Q34" s="139"/>
      <c r="R34" s="139"/>
      <c r="S34" s="139"/>
      <c r="T34" s="139"/>
    </row>
    <row r="35" spans="2:20" s="135" customFormat="1" ht="22.5" customHeight="1">
      <c r="D35" s="150" t="s">
        <v>188</v>
      </c>
      <c r="E35" s="151" t="s">
        <v>189</v>
      </c>
      <c r="F35" s="171"/>
      <c r="G35" s="153"/>
      <c r="H35" s="153"/>
      <c r="I35" s="153"/>
      <c r="J35" s="153"/>
      <c r="K35" s="139"/>
      <c r="L35" s="139"/>
      <c r="M35" s="139"/>
      <c r="N35" s="139"/>
      <c r="O35" s="139"/>
      <c r="P35" s="139"/>
      <c r="Q35" s="139"/>
      <c r="R35" s="139"/>
      <c r="S35" s="139"/>
      <c r="T35" s="139"/>
    </row>
    <row r="36" spans="2:20" s="135" customFormat="1" ht="22.5" customHeight="1">
      <c r="D36" s="158" t="s">
        <v>186</v>
      </c>
      <c r="E36" s="159"/>
      <c r="F36" s="172"/>
      <c r="G36" s="153"/>
      <c r="H36" s="153"/>
      <c r="I36" s="153"/>
      <c r="J36" s="153"/>
      <c r="K36" s="139"/>
      <c r="L36" s="139"/>
      <c r="M36" s="139"/>
      <c r="N36" s="139"/>
      <c r="O36" s="139"/>
      <c r="P36" s="139"/>
      <c r="Q36" s="139"/>
      <c r="R36" s="139"/>
      <c r="S36" s="139"/>
      <c r="T36" s="139"/>
    </row>
    <row r="37" spans="2:20" s="135" customFormat="1" ht="22.5" customHeight="1" thickBot="1">
      <c r="D37" s="160"/>
      <c r="E37" s="161"/>
      <c r="F37" s="162">
        <f>SUM(F5:F36)</f>
        <v>0.99140000000000006</v>
      </c>
      <c r="G37" s="153"/>
      <c r="H37" s="153"/>
      <c r="I37" s="153"/>
      <c r="J37" s="153"/>
      <c r="K37" s="139"/>
      <c r="L37" s="139"/>
      <c r="M37" s="139"/>
      <c r="N37" s="139"/>
      <c r="O37" s="139"/>
      <c r="P37" s="139"/>
      <c r="Q37" s="139"/>
      <c r="R37" s="139"/>
      <c r="S37" s="139"/>
      <c r="T37" s="139"/>
    </row>
    <row r="38" spans="2:20" s="135" customFormat="1" ht="22.5" customHeight="1">
      <c r="D38" s="97" t="s">
        <v>336</v>
      </c>
      <c r="E38" s="69"/>
      <c r="F38" s="69"/>
      <c r="G38" s="69"/>
      <c r="H38" s="69"/>
      <c r="I38" s="69"/>
      <c r="J38" s="69"/>
      <c r="K38" s="139"/>
      <c r="L38" s="139"/>
      <c r="M38" s="139"/>
      <c r="N38" s="139"/>
      <c r="O38" s="139"/>
      <c r="P38" s="139"/>
      <c r="Q38" s="139"/>
      <c r="R38" s="139"/>
      <c r="S38" s="139"/>
      <c r="T38" s="139"/>
    </row>
    <row r="39" spans="2:20" ht="22.5" customHeight="1">
      <c r="K39" s="69"/>
      <c r="L39" s="69"/>
      <c r="M39" s="69"/>
      <c r="N39" s="69"/>
      <c r="O39" s="69"/>
      <c r="P39" s="69"/>
      <c r="Q39" s="69"/>
      <c r="R39" s="69"/>
      <c r="S39" s="69"/>
      <c r="T39" s="69"/>
    </row>
    <row r="40" spans="2:20" ht="22.95" customHeight="1">
      <c r="E40" s="69"/>
      <c r="F40" s="69"/>
      <c r="G40" s="69"/>
      <c r="H40" s="69"/>
      <c r="I40" s="69"/>
      <c r="J40" s="69"/>
      <c r="K40" s="69"/>
      <c r="L40" s="69"/>
      <c r="M40" s="69"/>
      <c r="N40" s="69"/>
      <c r="O40" s="69"/>
      <c r="P40" s="69"/>
      <c r="Q40" s="69"/>
      <c r="R40" s="69"/>
      <c r="S40" s="69"/>
      <c r="T40" s="69"/>
    </row>
    <row r="41" spans="2:20" ht="22.95" customHeight="1">
      <c r="B41" s="97" t="s">
        <v>335</v>
      </c>
      <c r="D41" s="69"/>
      <c r="E41" s="69"/>
      <c r="F41" s="69"/>
      <c r="G41" s="69"/>
      <c r="H41" s="69"/>
      <c r="I41" s="69"/>
      <c r="J41" s="69"/>
      <c r="K41" s="69"/>
      <c r="L41" s="69"/>
      <c r="M41" s="69"/>
      <c r="N41" s="69"/>
      <c r="O41" s="69"/>
      <c r="P41" s="69"/>
      <c r="Q41" s="69"/>
      <c r="R41" s="69"/>
      <c r="S41" s="69"/>
      <c r="T41" s="69"/>
    </row>
    <row r="42" spans="2:20" ht="22.95" customHeight="1">
      <c r="D42" s="69"/>
      <c r="E42" s="69"/>
      <c r="F42" s="69"/>
      <c r="G42" s="69"/>
      <c r="H42" s="69"/>
      <c r="I42" s="69"/>
      <c r="J42" s="69"/>
      <c r="K42" s="69"/>
      <c r="L42" s="69"/>
      <c r="M42" s="69"/>
      <c r="N42" s="69"/>
      <c r="O42" s="69"/>
      <c r="P42" s="69"/>
      <c r="Q42" s="69"/>
      <c r="R42" s="69"/>
      <c r="S42" s="69"/>
      <c r="T42" s="69"/>
    </row>
    <row r="43" spans="2:20" ht="22.95" customHeight="1">
      <c r="D43" s="69"/>
      <c r="E43" s="69"/>
      <c r="F43" s="69"/>
      <c r="G43" s="69"/>
      <c r="H43" s="69"/>
      <c r="I43" s="69"/>
      <c r="J43" s="69"/>
      <c r="K43" s="69"/>
      <c r="L43" s="69"/>
      <c r="M43" s="69"/>
      <c r="N43" s="69"/>
      <c r="O43" s="69"/>
      <c r="P43" s="69"/>
      <c r="Q43" s="69"/>
      <c r="R43" s="69"/>
      <c r="S43" s="69"/>
      <c r="T43" s="69"/>
    </row>
    <row r="44" spans="2:20" ht="13.8">
      <c r="D44" s="69"/>
      <c r="E44" s="69"/>
      <c r="F44" s="69"/>
      <c r="G44" s="69"/>
      <c r="H44" s="69"/>
      <c r="I44" s="69"/>
      <c r="J44" s="69"/>
      <c r="K44" s="69"/>
      <c r="L44" s="69"/>
      <c r="M44" s="69"/>
      <c r="N44" s="69"/>
      <c r="O44" s="69"/>
      <c r="P44" s="69"/>
      <c r="Q44" s="69"/>
      <c r="R44" s="69"/>
      <c r="S44" s="69"/>
      <c r="T44" s="69"/>
    </row>
    <row r="45" spans="2:20" ht="13.8">
      <c r="D45" s="69"/>
      <c r="E45" s="69"/>
      <c r="F45" s="69"/>
      <c r="G45" s="69"/>
      <c r="H45" s="69"/>
      <c r="I45" s="69"/>
      <c r="J45" s="69"/>
      <c r="K45" s="69"/>
      <c r="L45" s="69"/>
      <c r="M45" s="69"/>
      <c r="N45" s="69"/>
      <c r="O45" s="69"/>
      <c r="P45" s="69"/>
      <c r="Q45" s="69"/>
      <c r="R45" s="69"/>
      <c r="S45" s="69"/>
      <c r="T45" s="69"/>
    </row>
    <row r="46" spans="2:20" ht="13.8">
      <c r="D46" s="69"/>
      <c r="E46" s="69"/>
      <c r="F46" s="69"/>
      <c r="G46" s="69"/>
      <c r="H46" s="69"/>
      <c r="I46" s="69"/>
      <c r="J46" s="69"/>
      <c r="K46" s="69"/>
      <c r="L46" s="69"/>
      <c r="M46" s="69"/>
      <c r="N46" s="69"/>
      <c r="O46" s="69"/>
      <c r="P46" s="69"/>
      <c r="Q46" s="69"/>
      <c r="R46" s="69"/>
      <c r="S46" s="69"/>
      <c r="T46" s="69"/>
    </row>
    <row r="47" spans="2:20" ht="13.8">
      <c r="D47" s="69"/>
      <c r="E47" s="69"/>
      <c r="F47" s="69"/>
      <c r="G47" s="69"/>
      <c r="H47" s="69"/>
      <c r="I47" s="69"/>
      <c r="J47" s="69"/>
      <c r="K47" s="69"/>
      <c r="L47" s="69"/>
      <c r="M47" s="69"/>
      <c r="N47" s="69"/>
      <c r="O47" s="69"/>
      <c r="P47" s="69"/>
      <c r="Q47" s="69"/>
      <c r="R47" s="69"/>
      <c r="S47" s="69"/>
      <c r="T47" s="69"/>
    </row>
    <row r="48" spans="2:20" ht="13.8">
      <c r="D48" s="69"/>
      <c r="E48" s="69"/>
      <c r="F48" s="69"/>
      <c r="G48" s="69"/>
      <c r="H48" s="69"/>
      <c r="I48" s="69"/>
      <c r="J48" s="69"/>
      <c r="K48" s="69"/>
      <c r="L48" s="69"/>
      <c r="M48" s="69"/>
      <c r="N48" s="69"/>
      <c r="O48" s="69"/>
      <c r="P48" s="69"/>
      <c r="Q48" s="69"/>
      <c r="R48" s="69"/>
      <c r="S48" s="69"/>
      <c r="T48" s="69"/>
    </row>
    <row r="49" spans="1:20" ht="14.4" thickBot="1">
      <c r="D49" s="69"/>
      <c r="E49" s="69"/>
      <c r="F49" s="69"/>
      <c r="G49" s="69"/>
      <c r="H49" s="69"/>
      <c r="I49" s="69"/>
      <c r="J49" s="69"/>
      <c r="K49" s="69"/>
      <c r="L49" s="69"/>
      <c r="M49" s="69"/>
      <c r="N49" s="69"/>
      <c r="O49" s="69"/>
      <c r="P49" s="69"/>
      <c r="Q49" s="69"/>
      <c r="R49" s="69"/>
      <c r="S49" s="69"/>
      <c r="T49" s="69"/>
    </row>
    <row r="50" spans="1:20" ht="27.6">
      <c r="A50" s="60"/>
      <c r="B50" s="60"/>
      <c r="C50" s="60"/>
      <c r="D50" s="110" t="s">
        <v>260</v>
      </c>
      <c r="E50" s="111"/>
      <c r="F50" s="112" t="s">
        <v>259</v>
      </c>
      <c r="G50" s="131"/>
      <c r="H50" s="131" t="s">
        <v>258</v>
      </c>
      <c r="I50" s="131" t="s">
        <v>322</v>
      </c>
      <c r="J50" s="131" t="s">
        <v>257</v>
      </c>
      <c r="K50" s="131" t="s">
        <v>256</v>
      </c>
      <c r="L50" s="131" t="s">
        <v>323</v>
      </c>
      <c r="M50" s="131" t="s">
        <v>324</v>
      </c>
      <c r="N50" s="131" t="s">
        <v>325</v>
      </c>
      <c r="O50" s="131" t="s">
        <v>255</v>
      </c>
      <c r="P50" s="131" t="s">
        <v>326</v>
      </c>
      <c r="Q50" s="131" t="s">
        <v>327</v>
      </c>
      <c r="R50" s="131" t="s">
        <v>328</v>
      </c>
      <c r="S50" s="131" t="s">
        <v>329</v>
      </c>
      <c r="T50" s="132" t="s">
        <v>330</v>
      </c>
    </row>
    <row r="51" spans="1:20" ht="15">
      <c r="A51" s="60"/>
      <c r="B51" s="60"/>
      <c r="C51" s="60"/>
      <c r="D51" s="113"/>
      <c r="E51" s="80"/>
      <c r="F51" s="81"/>
      <c r="G51" s="82"/>
      <c r="H51" s="82"/>
      <c r="I51" s="82"/>
      <c r="J51" s="82" t="s">
        <v>250</v>
      </c>
      <c r="K51" s="82" t="s">
        <v>250</v>
      </c>
      <c r="L51" s="82"/>
      <c r="M51" s="96" t="s">
        <v>318</v>
      </c>
      <c r="N51" s="96" t="s">
        <v>321</v>
      </c>
      <c r="O51" s="82"/>
      <c r="P51" s="82"/>
      <c r="Q51" s="82" t="s">
        <v>249</v>
      </c>
      <c r="R51" s="82" t="s">
        <v>248</v>
      </c>
      <c r="S51" s="82" t="s">
        <v>247</v>
      </c>
      <c r="T51" s="114" t="s">
        <v>246</v>
      </c>
    </row>
    <row r="52" spans="1:20" ht="13.8">
      <c r="A52" s="60"/>
      <c r="B52" s="60"/>
      <c r="C52" s="60"/>
      <c r="D52" s="115" t="s">
        <v>243</v>
      </c>
      <c r="E52" s="74" t="s">
        <v>245</v>
      </c>
      <c r="F52" s="75">
        <v>0.82050000000000001</v>
      </c>
      <c r="G52" s="76"/>
      <c r="H52" s="76" t="s">
        <v>244</v>
      </c>
      <c r="I52" s="83">
        <v>16.0426</v>
      </c>
      <c r="J52" s="84">
        <v>890.36</v>
      </c>
      <c r="K52" s="84">
        <v>802.32</v>
      </c>
      <c r="L52" s="83">
        <v>0.55389999999999995</v>
      </c>
      <c r="M52" s="83">
        <v>0.67849999999999999</v>
      </c>
      <c r="N52" s="85">
        <v>37696</v>
      </c>
      <c r="O52" s="83">
        <v>0.998</v>
      </c>
      <c r="P52" s="83">
        <f t="shared" ref="P52:P73" si="0">ROUND(SQRT(1-O52),4)</f>
        <v>4.4699999999999997E-2</v>
      </c>
      <c r="Q52" s="85">
        <f t="shared" ref="Q52:Q83" si="1">ROUND((F52*N52),0)</f>
        <v>30930</v>
      </c>
      <c r="R52" s="83">
        <f t="shared" ref="R52:R83" si="2">(F52*L52)</f>
        <v>0.45447494999999999</v>
      </c>
      <c r="S52" s="83">
        <f t="shared" ref="S52:S83" si="3">(F52*M52)</f>
        <v>0.55670925000000004</v>
      </c>
      <c r="T52" s="116">
        <f t="shared" ref="T52:T83" si="4">(F52*P52)</f>
        <v>3.6676349999999996E-2</v>
      </c>
    </row>
    <row r="53" spans="1:20" ht="13.8">
      <c r="A53" s="60"/>
      <c r="B53" s="60"/>
      <c r="C53" s="60"/>
      <c r="D53" s="117" t="s">
        <v>240</v>
      </c>
      <c r="E53" s="86" t="s">
        <v>242</v>
      </c>
      <c r="F53" s="78">
        <v>8.6999999999999994E-2</v>
      </c>
      <c r="G53" s="79"/>
      <c r="H53" s="79" t="s">
        <v>241</v>
      </c>
      <c r="I53" s="87">
        <v>30.069400000000002</v>
      </c>
      <c r="J53" s="88">
        <v>1559.88</v>
      </c>
      <c r="K53" s="88">
        <v>1427.83</v>
      </c>
      <c r="L53" s="87">
        <v>1.0382</v>
      </c>
      <c r="M53" s="87">
        <v>1.2717000000000001</v>
      </c>
      <c r="N53" s="89">
        <v>66035</v>
      </c>
      <c r="O53" s="87">
        <v>0.99139999999999995</v>
      </c>
      <c r="P53" s="87">
        <f t="shared" si="0"/>
        <v>9.2700000000000005E-2</v>
      </c>
      <c r="Q53" s="89">
        <f t="shared" si="1"/>
        <v>5745</v>
      </c>
      <c r="R53" s="87">
        <f t="shared" si="2"/>
        <v>9.0323399999999998E-2</v>
      </c>
      <c r="S53" s="87">
        <f t="shared" si="3"/>
        <v>0.1106379</v>
      </c>
      <c r="T53" s="118">
        <f t="shared" si="4"/>
        <v>8.0648999999999998E-3</v>
      </c>
    </row>
    <row r="54" spans="1:20" ht="13.8">
      <c r="A54" s="60"/>
      <c r="B54" s="60"/>
      <c r="C54" s="60"/>
      <c r="D54" s="117" t="s">
        <v>237</v>
      </c>
      <c r="E54" s="86" t="s">
        <v>239</v>
      </c>
      <c r="F54" s="78">
        <v>3.2500000000000001E-2</v>
      </c>
      <c r="G54" s="79"/>
      <c r="H54" s="79" t="s">
        <v>238</v>
      </c>
      <c r="I54" s="87">
        <v>44.096200000000003</v>
      </c>
      <c r="J54" s="88">
        <v>2220.0300000000002</v>
      </c>
      <c r="K54" s="88">
        <v>2044.01</v>
      </c>
      <c r="L54" s="87">
        <v>1.5224</v>
      </c>
      <c r="M54" s="87">
        <v>1.865</v>
      </c>
      <c r="N54" s="89">
        <v>93975</v>
      </c>
      <c r="O54" s="87">
        <v>0.98060000000000003</v>
      </c>
      <c r="P54" s="87">
        <f t="shared" si="0"/>
        <v>0.13930000000000001</v>
      </c>
      <c r="Q54" s="89">
        <f t="shared" si="1"/>
        <v>3054</v>
      </c>
      <c r="R54" s="87">
        <f t="shared" si="2"/>
        <v>4.9478000000000001E-2</v>
      </c>
      <c r="S54" s="87">
        <f t="shared" si="3"/>
        <v>6.06125E-2</v>
      </c>
      <c r="T54" s="118">
        <f t="shared" si="4"/>
        <v>4.52725E-3</v>
      </c>
    </row>
    <row r="55" spans="1:20" ht="13.8">
      <c r="A55" s="60"/>
      <c r="B55" s="60"/>
      <c r="C55" s="60"/>
      <c r="D55" s="117" t="s">
        <v>235</v>
      </c>
      <c r="E55" s="86" t="s">
        <v>236</v>
      </c>
      <c r="F55" s="78">
        <v>9.7000000000000003E-3</v>
      </c>
      <c r="G55" s="79"/>
      <c r="H55" s="79" t="s">
        <v>233</v>
      </c>
      <c r="I55" s="87">
        <v>58.122999999999998</v>
      </c>
      <c r="J55" s="88">
        <v>2877.09</v>
      </c>
      <c r="K55" s="88">
        <v>2657.05</v>
      </c>
      <c r="L55" s="87">
        <v>2.0066999999999999</v>
      </c>
      <c r="M55" s="87">
        <v>2.4582000000000002</v>
      </c>
      <c r="N55" s="89">
        <v>121782</v>
      </c>
      <c r="O55" s="87">
        <v>0.96340000000000003</v>
      </c>
      <c r="P55" s="87">
        <f t="shared" si="0"/>
        <v>0.1913</v>
      </c>
      <c r="Q55" s="89">
        <f t="shared" si="1"/>
        <v>1181</v>
      </c>
      <c r="R55" s="87">
        <f t="shared" si="2"/>
        <v>1.9464990000000001E-2</v>
      </c>
      <c r="S55" s="87">
        <f t="shared" si="3"/>
        <v>2.3844540000000001E-2</v>
      </c>
      <c r="T55" s="118">
        <f t="shared" si="4"/>
        <v>1.8556099999999999E-3</v>
      </c>
    </row>
    <row r="56" spans="1:20" ht="13.8">
      <c r="A56" s="60"/>
      <c r="B56" s="60"/>
      <c r="C56" s="60"/>
      <c r="D56" s="119" t="s">
        <v>232</v>
      </c>
      <c r="E56" s="98" t="s">
        <v>234</v>
      </c>
      <c r="F56" s="133">
        <v>5.5999999999999999E-3</v>
      </c>
      <c r="G56" s="99"/>
      <c r="H56" s="99" t="s">
        <v>233</v>
      </c>
      <c r="I56" s="100">
        <v>58.122999999999998</v>
      </c>
      <c r="J56" s="101">
        <v>2868.72</v>
      </c>
      <c r="K56" s="101">
        <v>2648.68</v>
      </c>
      <c r="L56" s="100">
        <v>2.0066999999999999</v>
      </c>
      <c r="M56" s="100">
        <v>2.4582000000000002</v>
      </c>
      <c r="N56" s="102">
        <v>121428</v>
      </c>
      <c r="O56" s="100">
        <v>0.96589999999999998</v>
      </c>
      <c r="P56" s="100">
        <f t="shared" si="0"/>
        <v>0.1847</v>
      </c>
      <c r="Q56" s="102">
        <f t="shared" si="1"/>
        <v>680</v>
      </c>
      <c r="R56" s="100">
        <f t="shared" si="2"/>
        <v>1.1237519999999999E-2</v>
      </c>
      <c r="S56" s="100">
        <f t="shared" si="3"/>
        <v>1.3765920000000001E-2</v>
      </c>
      <c r="T56" s="120">
        <f t="shared" si="4"/>
        <v>1.03432E-3</v>
      </c>
    </row>
    <row r="57" spans="1:20" ht="13.8">
      <c r="A57" s="60"/>
      <c r="B57" s="60"/>
      <c r="C57" s="60"/>
      <c r="D57" s="119" t="s">
        <v>230</v>
      </c>
      <c r="E57" s="98" t="s">
        <v>231</v>
      </c>
      <c r="F57" s="133">
        <v>3.3999999999999998E-3</v>
      </c>
      <c r="G57" s="99"/>
      <c r="H57" s="99" t="s">
        <v>227</v>
      </c>
      <c r="I57" s="100">
        <v>72.149799999999999</v>
      </c>
      <c r="J57" s="101">
        <v>3536.15</v>
      </c>
      <c r="K57" s="101">
        <v>3272.1</v>
      </c>
      <c r="L57" s="100">
        <v>2.4910000000000001</v>
      </c>
      <c r="M57" s="100">
        <v>3.0514000000000001</v>
      </c>
      <c r="N57" s="102">
        <v>149676</v>
      </c>
      <c r="O57" s="100">
        <v>0.94400000000000006</v>
      </c>
      <c r="P57" s="100">
        <f t="shared" si="0"/>
        <v>0.2366</v>
      </c>
      <c r="Q57" s="102">
        <f t="shared" si="1"/>
        <v>509</v>
      </c>
      <c r="R57" s="100">
        <f t="shared" si="2"/>
        <v>8.4694000000000002E-3</v>
      </c>
      <c r="S57" s="100">
        <f t="shared" si="3"/>
        <v>1.037476E-2</v>
      </c>
      <c r="T57" s="120">
        <f t="shared" si="4"/>
        <v>8.0444000000000002E-4</v>
      </c>
    </row>
    <row r="58" spans="1:20" ht="13.8">
      <c r="A58" s="60"/>
      <c r="B58" s="60"/>
      <c r="C58" s="60"/>
      <c r="D58" s="119" t="s">
        <v>228</v>
      </c>
      <c r="E58" s="98" t="s">
        <v>229</v>
      </c>
      <c r="F58" s="133">
        <v>3.0999999999999999E-3</v>
      </c>
      <c r="G58" s="99"/>
      <c r="H58" s="99" t="s">
        <v>227</v>
      </c>
      <c r="I58" s="100">
        <v>72.149799999999999</v>
      </c>
      <c r="J58" s="101">
        <v>3582.12</v>
      </c>
      <c r="K58" s="101">
        <v>3264.06</v>
      </c>
      <c r="L58" s="100">
        <v>2.4910000000000001</v>
      </c>
      <c r="M58" s="100">
        <v>3.0514000000000001</v>
      </c>
      <c r="N58" s="102">
        <v>149336</v>
      </c>
      <c r="O58" s="100">
        <v>0.94989999999999997</v>
      </c>
      <c r="P58" s="100">
        <f t="shared" si="0"/>
        <v>0.2238</v>
      </c>
      <c r="Q58" s="102">
        <f t="shared" si="1"/>
        <v>463</v>
      </c>
      <c r="R58" s="100">
        <f t="shared" si="2"/>
        <v>7.7221E-3</v>
      </c>
      <c r="S58" s="100">
        <f t="shared" si="3"/>
        <v>9.4593400000000001E-3</v>
      </c>
      <c r="T58" s="120">
        <f t="shared" si="4"/>
        <v>6.9377999999999996E-4</v>
      </c>
    </row>
    <row r="59" spans="1:20" ht="13.8">
      <c r="A59" s="60"/>
      <c r="B59" s="60"/>
      <c r="C59" s="60"/>
      <c r="D59" s="119" t="s">
        <v>226</v>
      </c>
      <c r="E59" s="98"/>
      <c r="F59" s="133"/>
      <c r="G59" s="99"/>
      <c r="H59" s="99" t="s">
        <v>227</v>
      </c>
      <c r="I59" s="100">
        <v>72.149799999999999</v>
      </c>
      <c r="J59" s="101">
        <v>3516.16</v>
      </c>
      <c r="K59" s="101">
        <v>3252.56</v>
      </c>
      <c r="L59" s="100">
        <v>2.4910000000000001</v>
      </c>
      <c r="M59" s="100">
        <v>3.0514000000000001</v>
      </c>
      <c r="N59" s="102">
        <v>148850</v>
      </c>
      <c r="O59" s="100">
        <v>0.95789999999999997</v>
      </c>
      <c r="P59" s="100">
        <f t="shared" si="0"/>
        <v>0.20519999999999999</v>
      </c>
      <c r="Q59" s="102">
        <f t="shared" si="1"/>
        <v>0</v>
      </c>
      <c r="R59" s="100">
        <f t="shared" si="2"/>
        <v>0</v>
      </c>
      <c r="S59" s="100">
        <f t="shared" si="3"/>
        <v>0</v>
      </c>
      <c r="T59" s="120">
        <f t="shared" si="4"/>
        <v>0</v>
      </c>
    </row>
    <row r="60" spans="1:20" ht="13.8">
      <c r="A60" s="60"/>
      <c r="B60" s="60"/>
      <c r="C60" s="60"/>
      <c r="D60" s="117" t="s">
        <v>224</v>
      </c>
      <c r="E60" s="86" t="s">
        <v>225</v>
      </c>
      <c r="F60" s="78">
        <v>3.8E-3</v>
      </c>
      <c r="G60" s="79"/>
      <c r="H60" s="79" t="s">
        <v>220</v>
      </c>
      <c r="I60" s="87">
        <v>86.176599999999993</v>
      </c>
      <c r="J60" s="88">
        <v>4194.92</v>
      </c>
      <c r="K60" s="88">
        <v>3886.81</v>
      </c>
      <c r="L60" s="87">
        <v>2.9752999999999998</v>
      </c>
      <c r="M60" s="87">
        <v>3.6476999999999999</v>
      </c>
      <c r="N60" s="89">
        <v>177556</v>
      </c>
      <c r="O60" s="87">
        <v>0.91149999999999998</v>
      </c>
      <c r="P60" s="87">
        <f t="shared" si="0"/>
        <v>0.29749999999999999</v>
      </c>
      <c r="Q60" s="89">
        <f t="shared" si="1"/>
        <v>675</v>
      </c>
      <c r="R60" s="87">
        <f t="shared" si="2"/>
        <v>1.1306139999999999E-2</v>
      </c>
      <c r="S60" s="87">
        <f t="shared" si="3"/>
        <v>1.386126E-2</v>
      </c>
      <c r="T60" s="118">
        <f t="shared" si="4"/>
        <v>1.1305E-3</v>
      </c>
    </row>
    <row r="61" spans="1:20" ht="13.8">
      <c r="A61" s="60"/>
      <c r="B61" s="60"/>
      <c r="C61" s="60"/>
      <c r="D61" s="117" t="s">
        <v>223</v>
      </c>
      <c r="E61" s="86"/>
      <c r="F61" s="78"/>
      <c r="G61" s="79"/>
      <c r="H61" s="79" t="s">
        <v>220</v>
      </c>
      <c r="I61" s="87">
        <v>86.176599999999993</v>
      </c>
      <c r="J61" s="88">
        <v>4187.18</v>
      </c>
      <c r="K61" s="88">
        <v>3879.07</v>
      </c>
      <c r="L61" s="87">
        <v>2.9752999999999998</v>
      </c>
      <c r="M61" s="87">
        <v>3.6476999999999999</v>
      </c>
      <c r="N61" s="89">
        <v>177230</v>
      </c>
      <c r="O61" s="87">
        <v>0.91979999999999995</v>
      </c>
      <c r="P61" s="87">
        <f t="shared" si="0"/>
        <v>0.28320000000000001</v>
      </c>
      <c r="Q61" s="89">
        <f t="shared" si="1"/>
        <v>0</v>
      </c>
      <c r="R61" s="87">
        <f t="shared" si="2"/>
        <v>0</v>
      </c>
      <c r="S61" s="87">
        <f t="shared" si="3"/>
        <v>0</v>
      </c>
      <c r="T61" s="118">
        <f t="shared" si="4"/>
        <v>0</v>
      </c>
    </row>
    <row r="62" spans="1:20" ht="13.8">
      <c r="A62" s="60"/>
      <c r="B62" s="60"/>
      <c r="C62" s="60"/>
      <c r="D62" s="117" t="s">
        <v>222</v>
      </c>
      <c r="E62" s="86"/>
      <c r="F62" s="78"/>
      <c r="G62" s="79"/>
      <c r="H62" s="79" t="s">
        <v>220</v>
      </c>
      <c r="I62" s="87">
        <v>86.176599999999993</v>
      </c>
      <c r="J62" s="88">
        <v>4189.82</v>
      </c>
      <c r="K62" s="88">
        <v>3881.71</v>
      </c>
      <c r="L62" s="87">
        <v>2.9752999999999998</v>
      </c>
      <c r="M62" s="87">
        <v>3.6476999999999999</v>
      </c>
      <c r="N62" s="89">
        <v>177342</v>
      </c>
      <c r="O62" s="87">
        <v>0.91930000000000001</v>
      </c>
      <c r="P62" s="87">
        <f t="shared" si="0"/>
        <v>0.28410000000000002</v>
      </c>
      <c r="Q62" s="89">
        <f t="shared" si="1"/>
        <v>0</v>
      </c>
      <c r="R62" s="87">
        <f t="shared" si="2"/>
        <v>0</v>
      </c>
      <c r="S62" s="87">
        <f t="shared" si="3"/>
        <v>0</v>
      </c>
      <c r="T62" s="118">
        <f t="shared" si="4"/>
        <v>0</v>
      </c>
    </row>
    <row r="63" spans="1:20" ht="13.8">
      <c r="A63" s="60"/>
      <c r="B63" s="60"/>
      <c r="C63" s="60"/>
      <c r="D63" s="117" t="s">
        <v>221</v>
      </c>
      <c r="E63" s="86"/>
      <c r="F63" s="78"/>
      <c r="G63" s="79"/>
      <c r="H63" s="79" t="s">
        <v>220</v>
      </c>
      <c r="I63" s="87">
        <v>86.176599999999993</v>
      </c>
      <c r="J63" s="88">
        <v>4177.8900000000003</v>
      </c>
      <c r="K63" s="88">
        <v>3869.78</v>
      </c>
      <c r="L63" s="87">
        <v>2.9752999999999998</v>
      </c>
      <c r="M63" s="87">
        <v>3.6476999999999999</v>
      </c>
      <c r="N63" s="89">
        <v>176837</v>
      </c>
      <c r="O63" s="87">
        <v>0.93069999999999997</v>
      </c>
      <c r="P63" s="87">
        <f t="shared" si="0"/>
        <v>0.26319999999999999</v>
      </c>
      <c r="Q63" s="89">
        <f t="shared" si="1"/>
        <v>0</v>
      </c>
      <c r="R63" s="87">
        <f t="shared" si="2"/>
        <v>0</v>
      </c>
      <c r="S63" s="87">
        <f t="shared" si="3"/>
        <v>0</v>
      </c>
      <c r="T63" s="118">
        <f t="shared" si="4"/>
        <v>0</v>
      </c>
    </row>
    <row r="64" spans="1:20" ht="13.8">
      <c r="A64" s="60"/>
      <c r="B64" s="60"/>
      <c r="C64" s="60"/>
      <c r="D64" s="119" t="s">
        <v>219</v>
      </c>
      <c r="E64" s="98"/>
      <c r="F64" s="133"/>
      <c r="G64" s="99"/>
      <c r="H64" s="99" t="s">
        <v>220</v>
      </c>
      <c r="I64" s="100">
        <v>86.176599999999993</v>
      </c>
      <c r="J64" s="101">
        <v>4185.97</v>
      </c>
      <c r="K64" s="101">
        <v>3877.86</v>
      </c>
      <c r="L64" s="100">
        <v>2.9752999999999998</v>
      </c>
      <c r="M64" s="100">
        <v>3.6476999999999999</v>
      </c>
      <c r="N64" s="102">
        <v>177179</v>
      </c>
      <c r="O64" s="100">
        <v>0.92449999999999999</v>
      </c>
      <c r="P64" s="100">
        <f t="shared" si="0"/>
        <v>0.27479999999999999</v>
      </c>
      <c r="Q64" s="102">
        <f t="shared" si="1"/>
        <v>0</v>
      </c>
      <c r="R64" s="100">
        <f t="shared" si="2"/>
        <v>0</v>
      </c>
      <c r="S64" s="100">
        <f t="shared" si="3"/>
        <v>0</v>
      </c>
      <c r="T64" s="120">
        <f t="shared" si="4"/>
        <v>0</v>
      </c>
    </row>
    <row r="65" spans="1:20" ht="13.8">
      <c r="A65" s="60"/>
      <c r="B65" s="60"/>
      <c r="C65" s="60"/>
      <c r="D65" s="119" t="s">
        <v>217</v>
      </c>
      <c r="E65" s="98" t="s">
        <v>218</v>
      </c>
      <c r="F65" s="133">
        <v>5.3E-3</v>
      </c>
      <c r="G65" s="99"/>
      <c r="H65" s="99" t="s">
        <v>215</v>
      </c>
      <c r="I65" s="100">
        <v>100.2034</v>
      </c>
      <c r="J65" s="101">
        <v>4853.57</v>
      </c>
      <c r="K65" s="101">
        <v>4501.4399999999996</v>
      </c>
      <c r="L65" s="100">
        <v>3.4596</v>
      </c>
      <c r="M65" s="100">
        <v>4.2378999999999998</v>
      </c>
      <c r="N65" s="102">
        <v>205432</v>
      </c>
      <c r="O65" s="100">
        <v>0.86529999999999996</v>
      </c>
      <c r="P65" s="100">
        <f t="shared" si="0"/>
        <v>0.36699999999999999</v>
      </c>
      <c r="Q65" s="102">
        <f t="shared" si="1"/>
        <v>1089</v>
      </c>
      <c r="R65" s="100">
        <f t="shared" si="2"/>
        <v>1.8335879999999999E-2</v>
      </c>
      <c r="S65" s="100">
        <f t="shared" si="3"/>
        <v>2.2460869999999997E-2</v>
      </c>
      <c r="T65" s="120">
        <f t="shared" si="4"/>
        <v>1.9451E-3</v>
      </c>
    </row>
    <row r="66" spans="1:20" ht="13.8">
      <c r="A66" s="60"/>
      <c r="B66" s="60"/>
      <c r="C66" s="60"/>
      <c r="D66" s="119" t="s">
        <v>216</v>
      </c>
      <c r="E66" s="98"/>
      <c r="F66" s="133"/>
      <c r="G66" s="99"/>
      <c r="H66" s="99" t="s">
        <v>215</v>
      </c>
      <c r="I66" s="100">
        <v>100.2034</v>
      </c>
      <c r="J66" s="101">
        <v>4846.49</v>
      </c>
      <c r="K66" s="101">
        <v>4494.37</v>
      </c>
      <c r="L66" s="100">
        <v>3.4596</v>
      </c>
      <c r="M66" s="100">
        <v>4.2378999999999998</v>
      </c>
      <c r="N66" s="102">
        <v>205133</v>
      </c>
      <c r="O66" s="100">
        <v>0.87809999999999999</v>
      </c>
      <c r="P66" s="100">
        <f t="shared" si="0"/>
        <v>0.34910000000000002</v>
      </c>
      <c r="Q66" s="102">
        <f t="shared" si="1"/>
        <v>0</v>
      </c>
      <c r="R66" s="100">
        <f t="shared" si="2"/>
        <v>0</v>
      </c>
      <c r="S66" s="100">
        <f t="shared" si="3"/>
        <v>0</v>
      </c>
      <c r="T66" s="120">
        <f t="shared" si="4"/>
        <v>0</v>
      </c>
    </row>
    <row r="67" spans="1:20" ht="13.8">
      <c r="A67" s="60"/>
      <c r="B67" s="60"/>
      <c r="C67" s="60"/>
      <c r="D67" s="119" t="s">
        <v>214</v>
      </c>
      <c r="E67" s="98"/>
      <c r="F67" s="133"/>
      <c r="G67" s="99"/>
      <c r="H67" s="99" t="s">
        <v>215</v>
      </c>
      <c r="I67" s="100">
        <v>100.2034</v>
      </c>
      <c r="J67" s="101">
        <v>4849.88</v>
      </c>
      <c r="K67" s="101">
        <v>4497.76</v>
      </c>
      <c r="L67" s="100">
        <v>3.4596</v>
      </c>
      <c r="M67" s="100">
        <v>4.2378999999999998</v>
      </c>
      <c r="N67" s="102">
        <v>205276</v>
      </c>
      <c r="O67" s="100">
        <v>0.87809999999999999</v>
      </c>
      <c r="P67" s="100">
        <f t="shared" si="0"/>
        <v>0.34910000000000002</v>
      </c>
      <c r="Q67" s="102">
        <f t="shared" si="1"/>
        <v>0</v>
      </c>
      <c r="R67" s="100">
        <f t="shared" si="2"/>
        <v>0</v>
      </c>
      <c r="S67" s="100">
        <f t="shared" si="3"/>
        <v>0</v>
      </c>
      <c r="T67" s="120">
        <f t="shared" si="4"/>
        <v>0</v>
      </c>
    </row>
    <row r="68" spans="1:20" ht="13.8">
      <c r="A68" s="60"/>
      <c r="B68" s="60"/>
      <c r="C68" s="60"/>
      <c r="D68" s="117" t="s">
        <v>212</v>
      </c>
      <c r="E68" s="86" t="s">
        <v>213</v>
      </c>
      <c r="F68" s="78">
        <v>5.8999999999999999E-3</v>
      </c>
      <c r="G68" s="79"/>
      <c r="H68" s="79" t="s">
        <v>211</v>
      </c>
      <c r="I68" s="87">
        <v>114.2302</v>
      </c>
      <c r="J68" s="88">
        <v>5511.71</v>
      </c>
      <c r="K68" s="88">
        <v>5115.57</v>
      </c>
      <c r="L68" s="87">
        <v>3.9439000000000002</v>
      </c>
      <c r="M68" s="87">
        <v>4.8311999999999999</v>
      </c>
      <c r="N68" s="89">
        <v>233287</v>
      </c>
      <c r="O68" s="87">
        <v>0.79859999999999998</v>
      </c>
      <c r="P68" s="87">
        <f t="shared" si="0"/>
        <v>0.44879999999999998</v>
      </c>
      <c r="Q68" s="89">
        <f t="shared" si="1"/>
        <v>1376</v>
      </c>
      <c r="R68" s="87">
        <f t="shared" si="2"/>
        <v>2.326901E-2</v>
      </c>
      <c r="S68" s="87">
        <f t="shared" si="3"/>
        <v>2.8504079999999998E-2</v>
      </c>
      <c r="T68" s="118">
        <f t="shared" si="4"/>
        <v>2.6479199999999998E-3</v>
      </c>
    </row>
    <row r="69" spans="1:20" ht="13.8">
      <c r="A69" s="60"/>
      <c r="B69" s="60"/>
      <c r="C69" s="60"/>
      <c r="D69" s="117" t="s">
        <v>210</v>
      </c>
      <c r="E69" s="86"/>
      <c r="F69" s="78"/>
      <c r="G69" s="79"/>
      <c r="H69" s="79" t="s">
        <v>211</v>
      </c>
      <c r="I69" s="87">
        <v>114.2302</v>
      </c>
      <c r="J69" s="88">
        <v>5496.52</v>
      </c>
      <c r="K69" s="88">
        <v>5100.38</v>
      </c>
      <c r="L69" s="87">
        <v>3.9439000000000002</v>
      </c>
      <c r="M69" s="87">
        <v>4.8311999999999999</v>
      </c>
      <c r="N69" s="89">
        <v>232645</v>
      </c>
      <c r="O69" s="87">
        <v>0.86109999999999998</v>
      </c>
      <c r="P69" s="87">
        <f t="shared" si="0"/>
        <v>0.37269999999999998</v>
      </c>
      <c r="Q69" s="89">
        <f t="shared" si="1"/>
        <v>0</v>
      </c>
      <c r="R69" s="87">
        <f t="shared" si="2"/>
        <v>0</v>
      </c>
      <c r="S69" s="87">
        <f t="shared" si="3"/>
        <v>0</v>
      </c>
      <c r="T69" s="118">
        <f t="shared" si="4"/>
        <v>0</v>
      </c>
    </row>
    <row r="70" spans="1:20" ht="13.8">
      <c r="A70" s="60"/>
      <c r="B70" s="60"/>
      <c r="C70" s="60"/>
      <c r="D70" s="117" t="s">
        <v>208</v>
      </c>
      <c r="E70" s="86" t="s">
        <v>209</v>
      </c>
      <c r="F70" s="78"/>
      <c r="G70" s="79"/>
      <c r="H70" s="79" t="s">
        <v>209</v>
      </c>
      <c r="I70" s="87">
        <v>84.160799999999995</v>
      </c>
      <c r="J70" s="88">
        <v>3952.92</v>
      </c>
      <c r="K70" s="88">
        <v>3688.87</v>
      </c>
      <c r="L70" s="87">
        <v>2.9056999999999999</v>
      </c>
      <c r="M70" s="87">
        <v>3.5592999999999999</v>
      </c>
      <c r="N70" s="89">
        <v>167311</v>
      </c>
      <c r="O70" s="87">
        <v>0.91830000000000001</v>
      </c>
      <c r="P70" s="87">
        <f t="shared" si="0"/>
        <v>0.2858</v>
      </c>
      <c r="Q70" s="89">
        <f t="shared" si="1"/>
        <v>0</v>
      </c>
      <c r="R70" s="87">
        <f t="shared" si="2"/>
        <v>0</v>
      </c>
      <c r="S70" s="87">
        <f t="shared" si="3"/>
        <v>0</v>
      </c>
      <c r="T70" s="118">
        <f t="shared" si="4"/>
        <v>0</v>
      </c>
    </row>
    <row r="71" spans="1:20" ht="13.8">
      <c r="A71" s="60"/>
      <c r="B71" s="60"/>
      <c r="C71" s="60"/>
      <c r="D71" s="117" t="s">
        <v>206</v>
      </c>
      <c r="E71" s="86"/>
      <c r="F71" s="78"/>
      <c r="G71" s="79"/>
      <c r="H71" s="79" t="s">
        <v>207</v>
      </c>
      <c r="I71" s="87">
        <v>98.187600000000003</v>
      </c>
      <c r="J71" s="88">
        <v>4600.6400000000003</v>
      </c>
      <c r="K71" s="88">
        <v>4292.57</v>
      </c>
      <c r="L71" s="87">
        <v>3.39</v>
      </c>
      <c r="M71" s="87">
        <v>4.1527000000000003</v>
      </c>
      <c r="N71" s="89">
        <v>194722</v>
      </c>
      <c r="O71" s="87">
        <v>0.88109999999999999</v>
      </c>
      <c r="P71" s="87">
        <f t="shared" si="0"/>
        <v>0.3448</v>
      </c>
      <c r="Q71" s="89">
        <f t="shared" si="1"/>
        <v>0</v>
      </c>
      <c r="R71" s="87">
        <f t="shared" si="2"/>
        <v>0</v>
      </c>
      <c r="S71" s="87">
        <f t="shared" si="3"/>
        <v>0</v>
      </c>
      <c r="T71" s="118">
        <f t="shared" si="4"/>
        <v>0</v>
      </c>
    </row>
    <row r="72" spans="1:20" ht="13.8">
      <c r="A72" s="60"/>
      <c r="B72" s="60"/>
      <c r="C72" s="60"/>
      <c r="D72" s="119" t="s">
        <v>204</v>
      </c>
      <c r="E72" s="98" t="s">
        <v>205</v>
      </c>
      <c r="F72" s="133"/>
      <c r="G72" s="99"/>
      <c r="H72" s="99" t="s">
        <v>205</v>
      </c>
      <c r="I72" s="100">
        <v>78.113399999999999</v>
      </c>
      <c r="J72" s="101">
        <v>3301.51</v>
      </c>
      <c r="K72" s="101">
        <v>3169.46</v>
      </c>
      <c r="L72" s="100">
        <v>2.6968999999999999</v>
      </c>
      <c r="M72" s="100">
        <v>3.3037000000000001</v>
      </c>
      <c r="N72" s="102">
        <v>139694</v>
      </c>
      <c r="O72" s="100">
        <v>0.92769999999999997</v>
      </c>
      <c r="P72" s="100">
        <f t="shared" si="0"/>
        <v>0.26889999999999997</v>
      </c>
      <c r="Q72" s="102">
        <f t="shared" si="1"/>
        <v>0</v>
      </c>
      <c r="R72" s="100">
        <f t="shared" si="2"/>
        <v>0</v>
      </c>
      <c r="S72" s="100">
        <f t="shared" si="3"/>
        <v>0</v>
      </c>
      <c r="T72" s="120">
        <f t="shared" si="4"/>
        <v>0</v>
      </c>
    </row>
    <row r="73" spans="1:20" ht="13.8">
      <c r="A73" s="60"/>
      <c r="B73" s="60"/>
      <c r="C73" s="60"/>
      <c r="D73" s="119" t="s">
        <v>202</v>
      </c>
      <c r="E73" s="98" t="s">
        <v>203</v>
      </c>
      <c r="F73" s="133"/>
      <c r="G73" s="99"/>
      <c r="H73" s="99" t="s">
        <v>203</v>
      </c>
      <c r="I73" s="100">
        <v>92.140199999999993</v>
      </c>
      <c r="J73" s="101">
        <v>3947.94</v>
      </c>
      <c r="K73" s="101">
        <v>3771.88</v>
      </c>
      <c r="L73" s="100">
        <v>3.1812</v>
      </c>
      <c r="M73" s="100">
        <v>3.8963000000000001</v>
      </c>
      <c r="N73" s="102">
        <v>167054</v>
      </c>
      <c r="O73" s="100">
        <v>0.88239999999999996</v>
      </c>
      <c r="P73" s="100">
        <f t="shared" si="0"/>
        <v>0.34289999999999998</v>
      </c>
      <c r="Q73" s="102">
        <f t="shared" si="1"/>
        <v>0</v>
      </c>
      <c r="R73" s="100">
        <f t="shared" si="2"/>
        <v>0</v>
      </c>
      <c r="S73" s="100">
        <f t="shared" si="3"/>
        <v>0</v>
      </c>
      <c r="T73" s="120">
        <f t="shared" si="4"/>
        <v>0</v>
      </c>
    </row>
    <row r="74" spans="1:20" ht="13.8">
      <c r="A74" s="60"/>
      <c r="B74" s="60"/>
      <c r="C74" s="60"/>
      <c r="D74" s="119" t="s">
        <v>200</v>
      </c>
      <c r="E74" s="98" t="s">
        <v>201</v>
      </c>
      <c r="F74" s="133"/>
      <c r="G74" s="99"/>
      <c r="H74" s="99" t="s">
        <v>201</v>
      </c>
      <c r="I74" s="100">
        <v>2.0158</v>
      </c>
      <c r="J74" s="101">
        <v>285.83999999999997</v>
      </c>
      <c r="K74" s="101">
        <v>241.83</v>
      </c>
      <c r="L74" s="100">
        <v>6.9600000000000009E-2</v>
      </c>
      <c r="M74" s="100">
        <v>8.5199999999999998E-2</v>
      </c>
      <c r="N74" s="102">
        <v>12102</v>
      </c>
      <c r="O74" s="100">
        <v>1.0005999999999999</v>
      </c>
      <c r="P74" s="103" t="s">
        <v>187</v>
      </c>
      <c r="Q74" s="102">
        <f t="shared" si="1"/>
        <v>0</v>
      </c>
      <c r="R74" s="100">
        <f t="shared" si="2"/>
        <v>0</v>
      </c>
      <c r="S74" s="100">
        <f t="shared" si="3"/>
        <v>0</v>
      </c>
      <c r="T74" s="120">
        <f t="shared" si="4"/>
        <v>0</v>
      </c>
    </row>
    <row r="75" spans="1:20" ht="13.8">
      <c r="A75" s="60"/>
      <c r="B75" s="60"/>
      <c r="C75" s="60"/>
      <c r="D75" s="119" t="s">
        <v>198</v>
      </c>
      <c r="E75" s="98" t="s">
        <v>199</v>
      </c>
      <c r="F75" s="133"/>
      <c r="G75" s="99"/>
      <c r="H75" s="99" t="s">
        <v>199</v>
      </c>
      <c r="I75" s="100">
        <v>28.010400000000001</v>
      </c>
      <c r="J75" s="101">
        <v>282.99</v>
      </c>
      <c r="K75" s="101">
        <v>282.99</v>
      </c>
      <c r="L75" s="100">
        <v>0.96709999999999996</v>
      </c>
      <c r="M75" s="100">
        <v>1.1846000000000001</v>
      </c>
      <c r="N75" s="102">
        <v>11966</v>
      </c>
      <c r="O75" s="100">
        <v>0.99950000000000006</v>
      </c>
      <c r="P75" s="100">
        <f>ROUND(SQRT(1-O75),4)</f>
        <v>2.24E-2</v>
      </c>
      <c r="Q75" s="102">
        <f t="shared" si="1"/>
        <v>0</v>
      </c>
      <c r="R75" s="100">
        <f t="shared" si="2"/>
        <v>0</v>
      </c>
      <c r="S75" s="100">
        <f t="shared" si="3"/>
        <v>0</v>
      </c>
      <c r="T75" s="120">
        <f t="shared" si="4"/>
        <v>0</v>
      </c>
    </row>
    <row r="76" spans="1:20" ht="13.8">
      <c r="A76" s="60"/>
      <c r="B76" s="60"/>
      <c r="C76" s="60"/>
      <c r="D76" s="117" t="s">
        <v>196</v>
      </c>
      <c r="E76" s="86" t="s">
        <v>197</v>
      </c>
      <c r="F76" s="78"/>
      <c r="G76" s="79"/>
      <c r="H76" s="79" t="s">
        <v>197</v>
      </c>
      <c r="I76" s="87">
        <v>34.076000000000001</v>
      </c>
      <c r="J76" s="88">
        <v>562.54</v>
      </c>
      <c r="K76" s="88">
        <v>518.52</v>
      </c>
      <c r="L76" s="87">
        <v>1.1765000000000001</v>
      </c>
      <c r="M76" s="87">
        <v>1.4412</v>
      </c>
      <c r="N76" s="89">
        <v>23807</v>
      </c>
      <c r="O76" s="87">
        <v>0.99039999999999995</v>
      </c>
      <c r="P76" s="87">
        <f>ROUND(SQRT(1-O76),4)</f>
        <v>9.8000000000000004E-2</v>
      </c>
      <c r="Q76" s="89">
        <f t="shared" si="1"/>
        <v>0</v>
      </c>
      <c r="R76" s="87">
        <f t="shared" si="2"/>
        <v>0</v>
      </c>
      <c r="S76" s="87">
        <f t="shared" si="3"/>
        <v>0</v>
      </c>
      <c r="T76" s="118">
        <f t="shared" si="4"/>
        <v>0</v>
      </c>
    </row>
    <row r="77" spans="1:20" ht="13.8">
      <c r="A77" s="60"/>
      <c r="B77" s="60"/>
      <c r="C77" s="60"/>
      <c r="D77" s="117" t="s">
        <v>194</v>
      </c>
      <c r="E77" s="86" t="s">
        <v>195</v>
      </c>
      <c r="F77" s="78" t="s">
        <v>187</v>
      </c>
      <c r="G77" s="79"/>
      <c r="H77" s="79" t="s">
        <v>195</v>
      </c>
      <c r="I77" s="87">
        <v>4.0026000000000002</v>
      </c>
      <c r="J77" s="88"/>
      <c r="K77" s="88"/>
      <c r="L77" s="87">
        <v>0.13819999999999999</v>
      </c>
      <c r="M77" s="87">
        <v>0.16930000000000001</v>
      </c>
      <c r="N77" s="89"/>
      <c r="O77" s="87">
        <v>1.0004999999999999</v>
      </c>
      <c r="P77" s="87">
        <v>-1.6E-2</v>
      </c>
      <c r="Q77" s="89">
        <f t="shared" si="1"/>
        <v>0</v>
      </c>
      <c r="R77" s="87">
        <f t="shared" si="2"/>
        <v>0</v>
      </c>
      <c r="S77" s="87">
        <f t="shared" si="3"/>
        <v>0</v>
      </c>
      <c r="T77" s="118">
        <f t="shared" si="4"/>
        <v>0</v>
      </c>
    </row>
    <row r="78" spans="1:20" ht="13.8">
      <c r="A78" s="60"/>
      <c r="B78" s="60"/>
      <c r="C78" s="60"/>
      <c r="D78" s="117" t="s">
        <v>193</v>
      </c>
      <c r="E78" s="86" t="s">
        <v>181</v>
      </c>
      <c r="F78" s="78"/>
      <c r="G78" s="79"/>
      <c r="H78" s="79" t="s">
        <v>181</v>
      </c>
      <c r="I78" s="87">
        <v>39.948</v>
      </c>
      <c r="J78" s="88"/>
      <c r="K78" s="88"/>
      <c r="L78" s="87">
        <v>1.3792</v>
      </c>
      <c r="M78" s="87">
        <v>1.6895</v>
      </c>
      <c r="N78" s="89"/>
      <c r="O78" s="87">
        <v>0.99919999999999998</v>
      </c>
      <c r="P78" s="87">
        <f>ROUND(SQRT(1-O78),4)</f>
        <v>2.8299999999999999E-2</v>
      </c>
      <c r="Q78" s="89">
        <f t="shared" si="1"/>
        <v>0</v>
      </c>
      <c r="R78" s="87">
        <f t="shared" si="2"/>
        <v>0</v>
      </c>
      <c r="S78" s="87">
        <f t="shared" si="3"/>
        <v>0</v>
      </c>
      <c r="T78" s="118">
        <f t="shared" si="4"/>
        <v>0</v>
      </c>
    </row>
    <row r="79" spans="1:20" ht="13.8">
      <c r="A79" s="60"/>
      <c r="B79" s="60"/>
      <c r="C79" s="60"/>
      <c r="D79" s="117" t="s">
        <v>192</v>
      </c>
      <c r="E79" s="86" t="s">
        <v>184</v>
      </c>
      <c r="F79" s="78">
        <v>6.7000000000000002E-3</v>
      </c>
      <c r="G79" s="79"/>
      <c r="H79" s="79" t="s">
        <v>184</v>
      </c>
      <c r="I79" s="87">
        <v>28.013400000000001</v>
      </c>
      <c r="J79" s="88"/>
      <c r="K79" s="88"/>
      <c r="L79" s="87">
        <v>0.96719999999999995</v>
      </c>
      <c r="M79" s="87">
        <v>1.1848000000000001</v>
      </c>
      <c r="N79" s="89"/>
      <c r="O79" s="87">
        <v>0.99970000000000003</v>
      </c>
      <c r="P79" s="87">
        <f>ROUND(SQRT(1-O79),4)</f>
        <v>1.7299999999999999E-2</v>
      </c>
      <c r="Q79" s="89">
        <f t="shared" si="1"/>
        <v>0</v>
      </c>
      <c r="R79" s="87">
        <f t="shared" si="2"/>
        <v>6.48024E-3</v>
      </c>
      <c r="S79" s="87">
        <f t="shared" si="3"/>
        <v>7.9381600000000014E-3</v>
      </c>
      <c r="T79" s="118">
        <f t="shared" si="4"/>
        <v>1.1591000000000001E-4</v>
      </c>
    </row>
    <row r="80" spans="1:20" ht="13.8">
      <c r="A80" s="60"/>
      <c r="B80" s="60"/>
      <c r="C80" s="60"/>
      <c r="D80" s="119" t="s">
        <v>191</v>
      </c>
      <c r="E80" s="98" t="s">
        <v>183</v>
      </c>
      <c r="F80" s="133"/>
      <c r="G80" s="99"/>
      <c r="H80" s="99" t="s">
        <v>183</v>
      </c>
      <c r="I80" s="100">
        <v>31.998799999999999</v>
      </c>
      <c r="J80" s="101"/>
      <c r="K80" s="101"/>
      <c r="L80" s="100">
        <v>1.1048</v>
      </c>
      <c r="M80" s="100">
        <v>1.3532999999999999</v>
      </c>
      <c r="N80" s="102"/>
      <c r="O80" s="100">
        <v>0.99929999999999997</v>
      </c>
      <c r="P80" s="100">
        <f>ROUND(SQRT(1-O80),4)</f>
        <v>2.6499999999999999E-2</v>
      </c>
      <c r="Q80" s="102">
        <f t="shared" si="1"/>
        <v>0</v>
      </c>
      <c r="R80" s="100">
        <f t="shared" si="2"/>
        <v>0</v>
      </c>
      <c r="S80" s="100">
        <f t="shared" si="3"/>
        <v>0</v>
      </c>
      <c r="T80" s="120">
        <f t="shared" si="4"/>
        <v>0</v>
      </c>
    </row>
    <row r="81" spans="1:20" ht="13.8">
      <c r="A81" s="60"/>
      <c r="B81" s="60"/>
      <c r="C81" s="60"/>
      <c r="D81" s="119" t="s">
        <v>190</v>
      </c>
      <c r="E81" s="98" t="s">
        <v>177</v>
      </c>
      <c r="F81" s="133">
        <v>7.9000000000000008E-3</v>
      </c>
      <c r="G81" s="99"/>
      <c r="H81" s="99" t="s">
        <v>177</v>
      </c>
      <c r="I81" s="100">
        <v>44.009799999999998</v>
      </c>
      <c r="J81" s="101"/>
      <c r="K81" s="101"/>
      <c r="L81" s="100">
        <v>1.5195000000000001</v>
      </c>
      <c r="M81" s="100">
        <v>1.8613</v>
      </c>
      <c r="N81" s="102"/>
      <c r="O81" s="100">
        <v>0.99429999999999996</v>
      </c>
      <c r="P81" s="100">
        <v>6.1400000000000003E-2</v>
      </c>
      <c r="Q81" s="102">
        <f t="shared" si="1"/>
        <v>0</v>
      </c>
      <c r="R81" s="100">
        <f t="shared" si="2"/>
        <v>1.2004050000000002E-2</v>
      </c>
      <c r="S81" s="100">
        <f t="shared" si="3"/>
        <v>1.4704270000000002E-2</v>
      </c>
      <c r="T81" s="120">
        <f t="shared" si="4"/>
        <v>4.8506000000000005E-4</v>
      </c>
    </row>
    <row r="82" spans="1:20" ht="13.8">
      <c r="A82" s="60"/>
      <c r="B82" s="60"/>
      <c r="C82" s="60"/>
      <c r="D82" s="119" t="s">
        <v>188</v>
      </c>
      <c r="E82" s="98" t="s">
        <v>189</v>
      </c>
      <c r="F82" s="133"/>
      <c r="G82" s="99"/>
      <c r="H82" s="99" t="s">
        <v>189</v>
      </c>
      <c r="I82" s="100">
        <v>18.0152</v>
      </c>
      <c r="J82" s="101"/>
      <c r="K82" s="101"/>
      <c r="L82" s="100">
        <v>0.622</v>
      </c>
      <c r="M82" s="100">
        <v>0.76190000000000002</v>
      </c>
      <c r="N82" s="102"/>
      <c r="O82" s="100">
        <v>0.97099999999999997</v>
      </c>
      <c r="P82" s="100">
        <f>ROUND(SQRT(1-O82),4)</f>
        <v>0.17030000000000001</v>
      </c>
      <c r="Q82" s="102">
        <f t="shared" si="1"/>
        <v>0</v>
      </c>
      <c r="R82" s="100">
        <f t="shared" si="2"/>
        <v>0</v>
      </c>
      <c r="S82" s="100">
        <f t="shared" si="3"/>
        <v>0</v>
      </c>
      <c r="T82" s="120">
        <f t="shared" si="4"/>
        <v>0</v>
      </c>
    </row>
    <row r="83" spans="1:20" ht="13.8">
      <c r="A83" s="60"/>
      <c r="B83" s="60"/>
      <c r="C83" s="60"/>
      <c r="D83" s="121" t="s">
        <v>186</v>
      </c>
      <c r="E83" s="104"/>
      <c r="F83" s="134"/>
      <c r="G83" s="105"/>
      <c r="H83" s="105"/>
      <c r="I83" s="106">
        <v>28.964099999999998</v>
      </c>
      <c r="J83" s="107"/>
      <c r="K83" s="107"/>
      <c r="L83" s="106">
        <v>1</v>
      </c>
      <c r="M83" s="106">
        <v>1.2250000000000001</v>
      </c>
      <c r="N83" s="108"/>
      <c r="O83" s="106">
        <v>0.99958000000000002</v>
      </c>
      <c r="P83" s="109" t="s">
        <v>187</v>
      </c>
      <c r="Q83" s="108">
        <f t="shared" si="1"/>
        <v>0</v>
      </c>
      <c r="R83" s="106">
        <f t="shared" si="2"/>
        <v>0</v>
      </c>
      <c r="S83" s="106">
        <f t="shared" si="3"/>
        <v>0</v>
      </c>
      <c r="T83" s="122">
        <f t="shared" si="4"/>
        <v>0</v>
      </c>
    </row>
    <row r="84" spans="1:20" ht="14.4" thickBot="1">
      <c r="A84" s="60"/>
      <c r="B84" s="60"/>
      <c r="C84" s="60"/>
      <c r="D84" s="123"/>
      <c r="E84" s="124"/>
      <c r="F84" s="125">
        <f>SUM(F52:F83)</f>
        <v>0.99140000000000006</v>
      </c>
      <c r="G84" s="126"/>
      <c r="H84" s="126"/>
      <c r="I84" s="127"/>
      <c r="J84" s="128"/>
      <c r="K84" s="128"/>
      <c r="L84" s="127"/>
      <c r="M84" s="127"/>
      <c r="N84" s="129"/>
      <c r="O84" s="126"/>
      <c r="P84" s="126"/>
      <c r="Q84" s="129">
        <f>SUM(Q52:Q83)</f>
        <v>45702</v>
      </c>
      <c r="R84" s="127">
        <f>SUM(R52:R83)</f>
        <v>0.71256567999999998</v>
      </c>
      <c r="S84" s="127">
        <f>SUM(S52:S83)</f>
        <v>0.87287285000000003</v>
      </c>
      <c r="T84" s="130">
        <f>SUM(T52:T83)</f>
        <v>5.9981139999999988E-2</v>
      </c>
    </row>
    <row r="85" spans="1:20" ht="13.8">
      <c r="D85" s="69"/>
      <c r="E85" s="69"/>
      <c r="F85" s="69"/>
      <c r="H85" s="69"/>
      <c r="I85" s="73"/>
      <c r="J85" s="90"/>
      <c r="K85" s="90"/>
      <c r="L85" s="73"/>
      <c r="M85" s="73"/>
      <c r="N85" s="91"/>
      <c r="O85" s="69"/>
      <c r="P85" s="69"/>
      <c r="Q85" s="69"/>
      <c r="R85" s="69"/>
      <c r="S85" s="69"/>
      <c r="T85" s="69"/>
    </row>
    <row r="86" spans="1:20" ht="15">
      <c r="D86" s="92" t="s">
        <v>186</v>
      </c>
      <c r="E86" s="92"/>
      <c r="F86" s="93" t="s">
        <v>185</v>
      </c>
      <c r="H86" s="69"/>
      <c r="I86" s="69"/>
      <c r="J86" s="69"/>
      <c r="K86" s="94"/>
      <c r="L86" s="69"/>
      <c r="M86" s="69"/>
      <c r="N86" s="95"/>
      <c r="O86" s="69"/>
      <c r="P86" s="69"/>
      <c r="Q86" s="70" t="s">
        <v>171</v>
      </c>
      <c r="R86" s="69"/>
      <c r="S86" s="69">
        <v>8.3140000000000006E-2</v>
      </c>
      <c r="T86" s="72" t="s">
        <v>320</v>
      </c>
    </row>
    <row r="87" spans="1:20" ht="13.8">
      <c r="D87" s="78" t="s">
        <v>184</v>
      </c>
      <c r="E87" s="78"/>
      <c r="F87" s="77">
        <v>0.78090000000000004</v>
      </c>
      <c r="H87" s="69"/>
      <c r="I87" s="69"/>
      <c r="J87" s="69"/>
      <c r="K87" s="94"/>
      <c r="L87" s="69"/>
      <c r="M87" s="69"/>
      <c r="N87" s="95"/>
      <c r="O87" s="69"/>
      <c r="P87" s="69"/>
      <c r="Q87" s="69"/>
      <c r="R87" s="69"/>
      <c r="S87" s="71"/>
      <c r="T87" s="70"/>
    </row>
    <row r="88" spans="1:20" ht="13.8">
      <c r="D88" s="78" t="s">
        <v>183</v>
      </c>
      <c r="E88" s="78"/>
      <c r="F88" s="77">
        <v>0.20949999999999999</v>
      </c>
      <c r="H88" s="69"/>
      <c r="I88" s="69"/>
      <c r="J88" s="69"/>
      <c r="K88" s="94"/>
      <c r="L88" s="69"/>
      <c r="M88" s="69"/>
      <c r="N88" s="95"/>
      <c r="O88" s="69"/>
      <c r="P88" s="69"/>
      <c r="Q88" s="69" t="s">
        <v>182</v>
      </c>
      <c r="R88" s="69"/>
      <c r="S88" s="69"/>
      <c r="T88" s="69"/>
    </row>
    <row r="89" spans="1:20" ht="13.8">
      <c r="D89" s="78" t="s">
        <v>181</v>
      </c>
      <c r="E89" s="78"/>
      <c r="F89" s="77">
        <v>9.300000000000001E-3</v>
      </c>
      <c r="H89" s="69"/>
      <c r="I89" s="69"/>
      <c r="J89" s="69"/>
      <c r="K89" s="94"/>
      <c r="L89" s="69"/>
      <c r="M89" s="69"/>
      <c r="N89" s="95"/>
      <c r="O89" s="69"/>
      <c r="P89" s="69"/>
      <c r="Q89" s="96" t="s">
        <v>180</v>
      </c>
      <c r="R89" s="70" t="s">
        <v>179</v>
      </c>
      <c r="S89" s="70"/>
      <c r="T89" s="70" t="s">
        <v>178</v>
      </c>
    </row>
    <row r="90" spans="1:20" ht="15">
      <c r="D90" s="81" t="s">
        <v>177</v>
      </c>
      <c r="E90" s="81"/>
      <c r="F90" s="80">
        <v>3.0000000000000003E-4</v>
      </c>
      <c r="H90" s="69"/>
      <c r="I90" s="69"/>
      <c r="J90" s="69"/>
      <c r="K90" s="94"/>
      <c r="L90" s="69"/>
      <c r="M90" s="69"/>
      <c r="N90" s="95"/>
      <c r="O90" s="69"/>
      <c r="P90" s="69"/>
      <c r="Q90" s="96" t="s">
        <v>176</v>
      </c>
      <c r="R90" s="70" t="s">
        <v>175</v>
      </c>
      <c r="S90" s="70"/>
      <c r="T90" s="70" t="s">
        <v>319</v>
      </c>
    </row>
    <row r="91" spans="1:20" ht="13.8">
      <c r="D91" s="69"/>
      <c r="E91" s="69"/>
      <c r="F91" s="69"/>
      <c r="H91" s="69"/>
      <c r="I91" s="69"/>
      <c r="J91" s="69"/>
      <c r="K91" s="94"/>
      <c r="L91" s="69"/>
      <c r="M91" s="69"/>
      <c r="N91" s="69"/>
      <c r="O91" s="69"/>
      <c r="P91" s="69"/>
      <c r="Q91" s="96" t="s">
        <v>174</v>
      </c>
      <c r="R91" s="70" t="s">
        <v>173</v>
      </c>
      <c r="S91" s="70"/>
      <c r="T91" s="69"/>
    </row>
    <row r="92" spans="1:20" ht="15">
      <c r="D92" s="69"/>
      <c r="E92" s="69"/>
      <c r="F92" s="69"/>
      <c r="H92" s="69"/>
      <c r="I92" s="69"/>
      <c r="J92" s="69"/>
      <c r="K92" s="94"/>
      <c r="L92" s="73"/>
      <c r="M92" s="73"/>
      <c r="N92" s="91"/>
      <c r="O92" s="69"/>
      <c r="P92" s="69"/>
      <c r="Q92" s="96" t="s">
        <v>172</v>
      </c>
      <c r="R92" s="70" t="s">
        <v>171</v>
      </c>
      <c r="S92" s="70"/>
      <c r="T92" s="72" t="s">
        <v>320</v>
      </c>
    </row>
    <row r="93" spans="1:20" ht="13.8">
      <c r="D93" s="69"/>
      <c r="E93" s="69"/>
      <c r="F93" s="69"/>
      <c r="H93" s="69"/>
      <c r="I93" s="69"/>
      <c r="J93" s="69"/>
      <c r="K93" s="94"/>
      <c r="L93" s="73"/>
      <c r="M93" s="73"/>
      <c r="N93" s="91"/>
      <c r="O93" s="69"/>
      <c r="P93" s="69"/>
      <c r="Q93" s="96" t="s">
        <v>170</v>
      </c>
      <c r="R93" s="70" t="s">
        <v>169</v>
      </c>
      <c r="S93" s="70"/>
      <c r="T93" s="70" t="s">
        <v>168</v>
      </c>
    </row>
    <row r="94" spans="1:20" ht="13.8">
      <c r="D94" s="69"/>
      <c r="E94" s="69"/>
      <c r="F94" s="69"/>
      <c r="H94" s="69"/>
      <c r="I94" s="69"/>
      <c r="J94" s="69"/>
      <c r="K94" s="94"/>
      <c r="L94" s="73"/>
      <c r="M94" s="73"/>
      <c r="N94" s="91"/>
      <c r="O94" s="69"/>
      <c r="P94" s="69"/>
      <c r="Q94" s="96" t="s">
        <v>167</v>
      </c>
      <c r="R94" s="70" t="s">
        <v>166</v>
      </c>
      <c r="S94" s="70"/>
      <c r="T94" s="69"/>
    </row>
    <row r="95" spans="1:20" ht="13.8">
      <c r="D95" s="69"/>
      <c r="E95" s="69"/>
      <c r="F95" s="69"/>
      <c r="H95" s="69"/>
      <c r="I95" s="69"/>
      <c r="J95" s="69"/>
      <c r="K95" s="94"/>
      <c r="L95" s="73"/>
      <c r="M95" s="73"/>
      <c r="N95" s="91"/>
      <c r="O95" s="69"/>
      <c r="P95" s="69"/>
      <c r="Q95" s="96" t="s">
        <v>165</v>
      </c>
      <c r="R95" s="70" t="s">
        <v>164</v>
      </c>
      <c r="S95" s="70"/>
      <c r="T95" s="69"/>
    </row>
    <row r="96" spans="1:20" ht="13.8">
      <c r="D96" s="69"/>
      <c r="E96" s="69"/>
      <c r="F96" s="69"/>
      <c r="G96" s="69"/>
      <c r="H96" s="69"/>
      <c r="I96" s="69"/>
      <c r="J96" s="94"/>
      <c r="K96" s="69"/>
      <c r="L96" s="69"/>
      <c r="M96" s="69"/>
      <c r="N96" s="69"/>
      <c r="O96" s="69"/>
      <c r="P96" s="69"/>
      <c r="Q96" s="69"/>
      <c r="R96" s="69"/>
      <c r="S96" s="69"/>
      <c r="T96" s="69"/>
    </row>
    <row r="97" spans="4:20" ht="13.8">
      <c r="D97" s="69"/>
      <c r="E97" s="69"/>
      <c r="F97" s="69"/>
      <c r="G97" s="69"/>
      <c r="H97" s="69"/>
      <c r="I97" s="69"/>
      <c r="J97" s="94"/>
      <c r="K97" s="69"/>
      <c r="L97" s="69"/>
      <c r="M97" s="69"/>
      <c r="N97" s="69"/>
      <c r="O97" s="69"/>
      <c r="P97" s="69"/>
      <c r="Q97" s="69"/>
      <c r="R97" s="69"/>
      <c r="S97" s="69"/>
      <c r="T97" s="69"/>
    </row>
    <row r="98" spans="4:20" ht="13.8">
      <c r="D98" s="69"/>
      <c r="E98" s="69"/>
      <c r="F98" s="69"/>
      <c r="G98" s="69"/>
      <c r="H98" s="69"/>
      <c r="I98" s="69"/>
      <c r="J98" s="94"/>
      <c r="K98" s="69"/>
      <c r="L98" s="69"/>
      <c r="M98" s="69"/>
      <c r="N98" s="69"/>
      <c r="O98" s="69"/>
      <c r="P98" s="69"/>
      <c r="Q98" s="69"/>
      <c r="R98" s="69"/>
      <c r="S98" s="69"/>
      <c r="T98" s="69"/>
    </row>
  </sheetData>
  <hyperlinks>
    <hyperlink ref="B4" location="'01'!A1" display="01 Length" xr:uid="{00000000-0004-0000-1500-000000000000}"/>
    <hyperlink ref="B5" location="'02'!A1" display="02 Area (small)" xr:uid="{00000000-0004-0000-1500-000001000000}"/>
    <hyperlink ref="B6" location="'03'!A1" display="03 Area (large)" xr:uid="{00000000-0004-0000-1500-000002000000}"/>
    <hyperlink ref="B7" location="'04'!A1" display="04 Volume" xr:uid="{00000000-0004-0000-1500-000003000000}"/>
    <hyperlink ref="B8" location="'05'!A1" display="05 Velocity" xr:uid="{00000000-0004-0000-1500-000004000000}"/>
    <hyperlink ref="B9" location="'06'!A1" display="06 Volume flow" xr:uid="{00000000-0004-0000-1500-000005000000}"/>
    <hyperlink ref="B10" location="'07'!A1" display="07 Mass" xr:uid="{00000000-0004-0000-1500-000006000000}"/>
    <hyperlink ref="B11" location="'08'!A1" display="08 Density" xr:uid="{00000000-0004-0000-1500-000007000000}"/>
    <hyperlink ref="B12" location="'09'!A1" display="09 Mass flow" xr:uid="{00000000-0004-0000-1500-000008000000}"/>
    <hyperlink ref="B13" location="'10'!A1" display="10 Force" xr:uid="{00000000-0004-0000-1500-000009000000}"/>
    <hyperlink ref="B14" location="'11'!A1" display="11 Pressure" xr:uid="{00000000-0004-0000-1500-00000A000000}"/>
    <hyperlink ref="B15" location="'12'!A1" display="12 Energy" xr:uid="{00000000-0004-0000-1500-00000B000000}"/>
    <hyperlink ref="B16" location="'13'!A1" display="13 Calorific value" xr:uid="{00000000-0004-0000-1500-00000C000000}"/>
    <hyperlink ref="B17" location="'14'!A1" display="14 Gas price" xr:uid="{00000000-0004-0000-1500-00000D000000}"/>
    <hyperlink ref="B18" location="'15'!A1" display="15 Temperature" xr:uid="{00000000-0004-0000-1500-00000E000000}"/>
    <hyperlink ref="B19" location="'16'!A1" display="16 API gravity" xr:uid="{00000000-0004-0000-1500-00000F000000}"/>
    <hyperlink ref="B20" location="'17'!A1" display="17 BOE" xr:uid="{00000000-0004-0000-1500-000010000000}"/>
    <hyperlink ref="B21" location="'18'!A1" display="18 LNG" xr:uid="{00000000-0004-0000-1500-000011000000}"/>
    <hyperlink ref="B22" location="'19'!A1" display="19 Emissions" xr:uid="{00000000-0004-0000-1500-000012000000}"/>
    <hyperlink ref="B23" location="'20'!A1" display="20 SI prefixes" xr:uid="{00000000-0004-0000-1500-000013000000}"/>
    <hyperlink ref="B24" location="'21'!A1" display="21 ISO 6974" xr:uid="{00000000-0004-0000-1500-000014000000}"/>
    <hyperlink ref="B25" location="'22'!A1" display="22 SRK equation" xr:uid="{00000000-0004-0000-1500-000015000000}"/>
  </hyperlinks>
  <printOptions gridLinesSet="0"/>
  <pageMargins left="0.75" right="0.75" top="1" bottom="1" header="0.5" footer="0.5"/>
  <pageSetup paperSize="9" scale="2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B1:AA62"/>
  <sheetViews>
    <sheetView showGridLines="0" zoomScaleNormal="100" workbookViewId="0"/>
  </sheetViews>
  <sheetFormatPr defaultColWidth="10.44140625" defaultRowHeight="13.2"/>
  <cols>
    <col min="1" max="1" width="3.21875" style="61" customWidth="1"/>
    <col min="2" max="2" width="19.88671875" style="61" customWidth="1"/>
    <col min="3" max="3" width="2.77734375" style="61" customWidth="1"/>
    <col min="4" max="4" width="13.77734375" style="61" customWidth="1"/>
    <col min="5" max="12" width="10.44140625" style="61"/>
    <col min="13" max="15" width="8.21875" style="61" customWidth="1"/>
    <col min="16" max="16" width="11.5546875" style="61" bestFit="1" customWidth="1"/>
    <col min="17" max="19" width="10.44140625" style="61"/>
    <col min="20" max="21" width="13.77734375" style="61" customWidth="1"/>
    <col min="22" max="16384" width="10.44140625" style="61"/>
  </cols>
  <sheetData>
    <row r="1" spans="2:27" ht="8.5500000000000007" customHeight="1">
      <c r="B1"/>
    </row>
    <row r="2" spans="2:27" ht="60" customHeight="1">
      <c r="B2"/>
      <c r="D2" s="56" t="s">
        <v>317</v>
      </c>
    </row>
    <row r="3" spans="2:27" ht="8.5500000000000007" customHeight="1" thickBot="1">
      <c r="B3"/>
      <c r="D3" s="66"/>
      <c r="E3" s="64"/>
      <c r="F3" s="64"/>
      <c r="G3" s="64"/>
      <c r="H3" s="64"/>
      <c r="I3" s="64"/>
      <c r="J3" s="64"/>
      <c r="K3" s="64"/>
      <c r="L3" s="64"/>
      <c r="M3" s="64"/>
      <c r="N3" s="65"/>
      <c r="O3" s="64"/>
    </row>
    <row r="4" spans="2:27" ht="22.5" customHeight="1">
      <c r="B4" s="270" t="s">
        <v>763</v>
      </c>
      <c r="D4" s="273">
        <v>65</v>
      </c>
      <c r="E4" s="48" t="s">
        <v>789</v>
      </c>
      <c r="G4" s="334" t="s">
        <v>260</v>
      </c>
      <c r="H4" s="286" t="s">
        <v>315</v>
      </c>
      <c r="I4" s="286" t="s">
        <v>254</v>
      </c>
      <c r="J4" s="286" t="s">
        <v>311</v>
      </c>
      <c r="K4" s="286" t="s">
        <v>252</v>
      </c>
      <c r="L4" s="286" t="s">
        <v>252</v>
      </c>
      <c r="M4" s="286"/>
      <c r="N4" s="286"/>
      <c r="O4" s="286" t="s">
        <v>314</v>
      </c>
      <c r="P4" s="286" t="s">
        <v>313</v>
      </c>
      <c r="Q4" s="286" t="s">
        <v>312</v>
      </c>
      <c r="R4" s="286"/>
      <c r="S4" s="286"/>
      <c r="T4" s="286" t="s">
        <v>297</v>
      </c>
      <c r="U4" s="286" t="s">
        <v>297</v>
      </c>
      <c r="V4" s="286" t="s">
        <v>297</v>
      </c>
      <c r="W4" s="286" t="s">
        <v>297</v>
      </c>
      <c r="X4" s="286" t="s">
        <v>297</v>
      </c>
      <c r="Y4" s="287" t="s">
        <v>297</v>
      </c>
    </row>
    <row r="5" spans="2:27" ht="22.5" customHeight="1" thickBot="1">
      <c r="B5" s="271" t="s">
        <v>764</v>
      </c>
      <c r="D5" s="274">
        <v>100</v>
      </c>
      <c r="E5" s="48" t="s">
        <v>790</v>
      </c>
      <c r="G5" s="335"/>
      <c r="H5" s="288" t="s">
        <v>311</v>
      </c>
      <c r="I5" s="288" t="s">
        <v>310</v>
      </c>
      <c r="J5" s="288" t="s">
        <v>251</v>
      </c>
      <c r="K5" s="288"/>
      <c r="L5" s="288" t="s">
        <v>251</v>
      </c>
      <c r="M5" s="288" t="s">
        <v>309</v>
      </c>
      <c r="N5" s="288" t="s">
        <v>308</v>
      </c>
      <c r="O5" s="288" t="s">
        <v>307</v>
      </c>
      <c r="P5" s="288" t="s">
        <v>306</v>
      </c>
      <c r="Q5" s="288" t="s">
        <v>253</v>
      </c>
      <c r="R5" s="288" t="s">
        <v>305</v>
      </c>
      <c r="S5" s="288" t="s">
        <v>304</v>
      </c>
      <c r="T5" s="288" t="s">
        <v>303</v>
      </c>
      <c r="U5" s="288" t="s">
        <v>302</v>
      </c>
      <c r="V5" s="288" t="s">
        <v>301</v>
      </c>
      <c r="W5" s="288" t="s">
        <v>300</v>
      </c>
      <c r="X5" s="288" t="s">
        <v>299</v>
      </c>
      <c r="Y5" s="289" t="s">
        <v>298</v>
      </c>
    </row>
    <row r="6" spans="2:27" ht="22.5" customHeight="1">
      <c r="B6" s="270" t="s">
        <v>765</v>
      </c>
      <c r="D6" s="48">
        <v>8314.34</v>
      </c>
      <c r="E6" s="48" t="s">
        <v>788</v>
      </c>
      <c r="G6" s="290" t="s">
        <v>188</v>
      </c>
      <c r="H6" s="278">
        <v>0</v>
      </c>
      <c r="I6" s="222">
        <v>18.015000000000001</v>
      </c>
      <c r="J6" s="222">
        <f>H6/H28</f>
        <v>0</v>
      </c>
      <c r="K6" s="222">
        <f t="shared" ref="K6:K27" si="0">H6*I6</f>
        <v>0</v>
      </c>
      <c r="L6" s="222">
        <f>K6/K28</f>
        <v>0</v>
      </c>
      <c r="M6" s="222">
        <f t="shared" ref="M6:M27" si="1">J6*O6</f>
        <v>0</v>
      </c>
      <c r="N6" s="222">
        <f t="shared" ref="N6:N27" si="2">J6*P6</f>
        <v>0</v>
      </c>
      <c r="O6" s="222">
        <v>221.18</v>
      </c>
      <c r="P6" s="222">
        <v>647.29999999999995</v>
      </c>
      <c r="Q6" s="222">
        <f t="shared" ref="Q6:Q22" si="3">0.42747*0.08205^2*P6^2/O6^2</f>
        <v>2.4648035939222424E-2</v>
      </c>
      <c r="R6" s="222">
        <f t="shared" ref="R6:R27" si="4">0.48+1.574*Q6-0.176*Q6*Q6</f>
        <v>0.51868908404941971</v>
      </c>
      <c r="S6" s="222">
        <f>(D4+273.15)/P6</f>
        <v>0.52240074154178895</v>
      </c>
      <c r="T6" s="222">
        <f t="shared" ref="T6:T27" si="5">(1+R6*(1-SQRT(S6)))^2</f>
        <v>1.3082661855816458</v>
      </c>
      <c r="U6" s="222">
        <f t="shared" ref="U6:U27" si="6">((0.42747*$D$6^2*P6*P6/O6)/100000)</f>
        <v>559791.83796317736</v>
      </c>
      <c r="V6" s="222">
        <f t="shared" ref="V6:V27" si="7">T6*U6</f>
        <v>732356.7325718248</v>
      </c>
      <c r="W6" s="222">
        <f>H6/H28*SQRT(V6)</f>
        <v>0</v>
      </c>
      <c r="X6" s="222">
        <f>SQRT(V6)*W28*H6/H28</f>
        <v>0</v>
      </c>
      <c r="Y6" s="213">
        <f>H6/H28*0.08664*D6*0.00001*P6/O6</f>
        <v>0</v>
      </c>
    </row>
    <row r="7" spans="2:27" ht="22.5" customHeight="1">
      <c r="B7" s="271" t="s">
        <v>766</v>
      </c>
      <c r="D7" s="226">
        <f>K28/H28</f>
        <v>37.083500000000001</v>
      </c>
      <c r="E7" s="48" t="s">
        <v>791</v>
      </c>
      <c r="G7" s="290" t="s">
        <v>177</v>
      </c>
      <c r="H7" s="279">
        <v>0</v>
      </c>
      <c r="I7" s="223">
        <v>44.01</v>
      </c>
      <c r="J7" s="223">
        <f>H7/H28</f>
        <v>0</v>
      </c>
      <c r="K7" s="223">
        <f t="shared" si="0"/>
        <v>0</v>
      </c>
      <c r="L7" s="223">
        <f>K7/K28</f>
        <v>0</v>
      </c>
      <c r="M7" s="223">
        <f t="shared" si="1"/>
        <v>0</v>
      </c>
      <c r="N7" s="223">
        <f t="shared" si="2"/>
        <v>0</v>
      </c>
      <c r="O7" s="223">
        <v>73.819999999999993</v>
      </c>
      <c r="P7" s="223">
        <v>304.19</v>
      </c>
      <c r="Q7" s="223">
        <f t="shared" si="3"/>
        <v>4.8865753061354336E-2</v>
      </c>
      <c r="R7" s="223">
        <f t="shared" si="4"/>
        <v>0.55649443163785517</v>
      </c>
      <c r="S7" s="223">
        <f>(D4+273.15)/P7</f>
        <v>1.1116407508465103</v>
      </c>
      <c r="T7" s="223">
        <f t="shared" si="5"/>
        <v>0.94043058574649208</v>
      </c>
      <c r="U7" s="223">
        <f t="shared" si="6"/>
        <v>370405.15867917438</v>
      </c>
      <c r="V7" s="223">
        <f t="shared" si="7"/>
        <v>348340.34034017829</v>
      </c>
      <c r="W7" s="223">
        <f>H7/H28*SQRT(V7)</f>
        <v>0</v>
      </c>
      <c r="X7" s="223">
        <f>SQRT(V7)*W28*H7/H28</f>
        <v>0</v>
      </c>
      <c r="Y7" s="215">
        <f>H7/H28*0.08664*D6*0.00001*P7/O7</f>
        <v>0</v>
      </c>
    </row>
    <row r="8" spans="2:27" ht="22.5" customHeight="1">
      <c r="B8" s="270" t="s">
        <v>767</v>
      </c>
      <c r="D8" s="225">
        <f>D5/M28</f>
        <v>2.1908204622631176</v>
      </c>
      <c r="E8" s="48" t="s">
        <v>792</v>
      </c>
      <c r="G8" s="290" t="s">
        <v>199</v>
      </c>
      <c r="H8" s="279">
        <v>0</v>
      </c>
      <c r="I8" s="223">
        <v>28.01</v>
      </c>
      <c r="J8" s="223">
        <f>H8/H28</f>
        <v>0</v>
      </c>
      <c r="K8" s="223">
        <f t="shared" si="0"/>
        <v>0</v>
      </c>
      <c r="L8" s="223">
        <f>K8/K28</f>
        <v>0</v>
      </c>
      <c r="M8" s="223">
        <f t="shared" si="1"/>
        <v>0</v>
      </c>
      <c r="N8" s="223">
        <f t="shared" si="2"/>
        <v>0</v>
      </c>
      <c r="O8" s="223">
        <v>34.99</v>
      </c>
      <c r="P8" s="223">
        <v>132.9</v>
      </c>
      <c r="Q8" s="223">
        <f t="shared" si="3"/>
        <v>4.1516897218609176E-2</v>
      </c>
      <c r="R8" s="223">
        <f t="shared" si="4"/>
        <v>0.54504423333727059</v>
      </c>
      <c r="S8" s="223">
        <f>(D4+273.15)/P8</f>
        <v>2.544394281414597</v>
      </c>
      <c r="T8" s="223">
        <f t="shared" si="5"/>
        <v>0.45648344768409715</v>
      </c>
      <c r="U8" s="223">
        <f t="shared" si="6"/>
        <v>149165.09912094069</v>
      </c>
      <c r="V8" s="223">
        <f t="shared" si="7"/>
        <v>68091.398720867102</v>
      </c>
      <c r="W8" s="223">
        <f>H8/H28*SQRT(V8)</f>
        <v>0</v>
      </c>
      <c r="X8" s="223">
        <f>SQRT(V8)*W28*H8/H28</f>
        <v>0</v>
      </c>
      <c r="Y8" s="215">
        <f>H8/H28*0.08664*D6*0.00001*P8/O8</f>
        <v>0</v>
      </c>
      <c r="Z8" s="68" t="s">
        <v>297</v>
      </c>
      <c r="AA8" s="68" t="s">
        <v>297</v>
      </c>
    </row>
    <row r="9" spans="2:27" ht="22.5" customHeight="1">
      <c r="B9" s="271" t="s">
        <v>768</v>
      </c>
      <c r="D9" s="225">
        <f>(D4+273.15)/N28</f>
        <v>1.0015549796371714</v>
      </c>
      <c r="E9" s="48" t="s">
        <v>793</v>
      </c>
      <c r="G9" s="290" t="s">
        <v>192</v>
      </c>
      <c r="H9" s="279">
        <v>0</v>
      </c>
      <c r="I9" s="223">
        <v>28.013000000000002</v>
      </c>
      <c r="J9" s="223">
        <f>H9/H28</f>
        <v>0</v>
      </c>
      <c r="K9" s="223">
        <f t="shared" si="0"/>
        <v>0</v>
      </c>
      <c r="L9" s="223">
        <f>K9/K28</f>
        <v>0</v>
      </c>
      <c r="M9" s="223">
        <f t="shared" si="1"/>
        <v>0</v>
      </c>
      <c r="N9" s="223">
        <f t="shared" si="2"/>
        <v>0</v>
      </c>
      <c r="O9" s="223">
        <v>33.99</v>
      </c>
      <c r="P9" s="223">
        <v>126.1</v>
      </c>
      <c r="Q9" s="223">
        <f t="shared" si="3"/>
        <v>3.9608706139711174E-2</v>
      </c>
      <c r="R9" s="223">
        <f t="shared" si="4"/>
        <v>0.54206798593394245</v>
      </c>
      <c r="S9" s="223">
        <f>(D4+273.15)/P9</f>
        <v>2.6816019032513876</v>
      </c>
      <c r="T9" s="223">
        <f t="shared" si="5"/>
        <v>0.4282384119449536</v>
      </c>
      <c r="U9" s="223">
        <f t="shared" si="6"/>
        <v>138242.06427375128</v>
      </c>
      <c r="V9" s="223">
        <f t="shared" si="7"/>
        <v>59200.562068583458</v>
      </c>
      <c r="W9" s="223">
        <f>H9/H28*SQRT(V9)</f>
        <v>0</v>
      </c>
      <c r="X9" s="223">
        <f>SQRT(V9)*W28*H9/H28</f>
        <v>0</v>
      </c>
      <c r="Y9" s="215">
        <f>H9/H28*0.08664*D6*0.00001*P9/O9</f>
        <v>0</v>
      </c>
    </row>
    <row r="10" spans="2:27" ht="22.5" customHeight="1">
      <c r="B10" s="270" t="s">
        <v>769</v>
      </c>
      <c r="D10" s="225">
        <f>(1-(X62))</f>
        <v>0.74789672301024712</v>
      </c>
      <c r="E10" s="48" t="s">
        <v>166</v>
      </c>
      <c r="G10" s="290" t="s">
        <v>191</v>
      </c>
      <c r="H10" s="279">
        <v>0</v>
      </c>
      <c r="I10" s="223">
        <v>32</v>
      </c>
      <c r="J10" s="223">
        <f>H10/H28</f>
        <v>0</v>
      </c>
      <c r="K10" s="223">
        <f t="shared" si="0"/>
        <v>0</v>
      </c>
      <c r="L10" s="223">
        <f>K10/K28</f>
        <v>0</v>
      </c>
      <c r="M10" s="223">
        <f t="shared" si="1"/>
        <v>0</v>
      </c>
      <c r="N10" s="223">
        <f t="shared" si="2"/>
        <v>0</v>
      </c>
      <c r="O10" s="223">
        <v>50.81</v>
      </c>
      <c r="P10" s="223">
        <v>154.69999999999999</v>
      </c>
      <c r="Q10" s="223">
        <f t="shared" si="3"/>
        <v>2.6677495145279929E-2</v>
      </c>
      <c r="R10" s="223">
        <f t="shared" si="4"/>
        <v>0.52186512013915876</v>
      </c>
      <c r="S10" s="223">
        <f>(D4+273.15)/P10</f>
        <v>2.1858435681965096</v>
      </c>
      <c r="T10" s="223">
        <f t="shared" si="5"/>
        <v>0.56296282388550689</v>
      </c>
      <c r="U10" s="223">
        <f t="shared" si="6"/>
        <v>139185.06420960423</v>
      </c>
      <c r="V10" s="223">
        <f t="shared" si="7"/>
        <v>78356.016790124399</v>
      </c>
      <c r="W10" s="223">
        <f>H10/H28*SQRT(V10)</f>
        <v>0</v>
      </c>
      <c r="X10" s="223">
        <f>SQRT(V10)*W28*H10/H28</f>
        <v>0</v>
      </c>
      <c r="Y10" s="215">
        <f>H10/H28*0.08664*D6*0.00001*P10/O10</f>
        <v>0</v>
      </c>
    </row>
    <row r="11" spans="2:27" ht="22.5" customHeight="1">
      <c r="B11" s="271" t="s">
        <v>770</v>
      </c>
      <c r="D11" s="227">
        <f>D7*D5*100000/D10/8314.4/(D4+273.2)</f>
        <v>176.33339490221388</v>
      </c>
      <c r="E11" s="48" t="s">
        <v>787</v>
      </c>
      <c r="G11" s="290" t="s">
        <v>197</v>
      </c>
      <c r="H11" s="279">
        <v>0</v>
      </c>
      <c r="I11" s="223">
        <v>34.076000000000001</v>
      </c>
      <c r="J11" s="223">
        <f>H11/H28</f>
        <v>0</v>
      </c>
      <c r="K11" s="223">
        <f t="shared" si="0"/>
        <v>0</v>
      </c>
      <c r="L11" s="223">
        <f>K11/K28</f>
        <v>0</v>
      </c>
      <c r="M11" s="223">
        <f t="shared" si="1"/>
        <v>0</v>
      </c>
      <c r="N11" s="223">
        <f t="shared" si="2"/>
        <v>0</v>
      </c>
      <c r="O11" s="223">
        <v>90.05</v>
      </c>
      <c r="P11" s="223">
        <v>373.5</v>
      </c>
      <c r="Q11" s="223">
        <f t="shared" si="3"/>
        <v>4.9508137672422542E-2</v>
      </c>
      <c r="R11" s="223">
        <f t="shared" si="4"/>
        <v>0.55749442289393381</v>
      </c>
      <c r="S11" s="223">
        <f>(D4+273.15)/P11</f>
        <v>0.90535475234270413</v>
      </c>
      <c r="T11" s="223">
        <f t="shared" si="5"/>
        <v>1.054806532603648</v>
      </c>
      <c r="U11" s="223">
        <f t="shared" si="6"/>
        <v>457781.98375072592</v>
      </c>
      <c r="V11" s="223">
        <f t="shared" si="7"/>
        <v>482871.42696852272</v>
      </c>
      <c r="W11" s="223">
        <f>H11/H28*SQRT(V11)</f>
        <v>0</v>
      </c>
      <c r="X11" s="223">
        <f>SQRT(V11)*W28*H11/H28</f>
        <v>0</v>
      </c>
      <c r="Y11" s="215">
        <f>H11/H28*0.08664*D6*0.00001*P11/O11</f>
        <v>0</v>
      </c>
    </row>
    <row r="12" spans="2:27" ht="22.5" customHeight="1">
      <c r="B12" s="270" t="s">
        <v>771</v>
      </c>
      <c r="G12" s="290" t="s">
        <v>200</v>
      </c>
      <c r="H12" s="279">
        <v>0</v>
      </c>
      <c r="I12" s="223">
        <v>2.016</v>
      </c>
      <c r="J12" s="223">
        <f>H12/H28</f>
        <v>0</v>
      </c>
      <c r="K12" s="223">
        <f t="shared" si="0"/>
        <v>0</v>
      </c>
      <c r="L12" s="223">
        <f>K12/K28</f>
        <v>0</v>
      </c>
      <c r="M12" s="223">
        <f t="shared" si="1"/>
        <v>0</v>
      </c>
      <c r="N12" s="223">
        <f t="shared" si="2"/>
        <v>0</v>
      </c>
      <c r="O12" s="223">
        <v>12.97</v>
      </c>
      <c r="P12" s="223">
        <v>33.200000000000003</v>
      </c>
      <c r="Q12" s="223">
        <f t="shared" si="3"/>
        <v>1.8856410634186905E-2</v>
      </c>
      <c r="R12" s="223">
        <f t="shared" si="4"/>
        <v>0.50961741103513736</v>
      </c>
      <c r="S12" s="223">
        <f>(D4+273.15)/P12</f>
        <v>10.185240963855421</v>
      </c>
      <c r="T12" s="223">
        <f t="shared" si="5"/>
        <v>1.3640399789679319E-2</v>
      </c>
      <c r="U12" s="223">
        <f t="shared" si="6"/>
        <v>25112.930397328921</v>
      </c>
      <c r="V12" s="223">
        <f t="shared" si="7"/>
        <v>342.55041050995681</v>
      </c>
      <c r="W12" s="223">
        <f>H12/H28*SQRT(V12)</f>
        <v>0</v>
      </c>
      <c r="X12" s="223">
        <f>SQRT(V12)*W28*H12/H28</f>
        <v>0</v>
      </c>
      <c r="Y12" s="215">
        <f>H12/H28*0.08664*D6*0.00001*P12/O12</f>
        <v>0</v>
      </c>
    </row>
    <row r="13" spans="2:27" ht="22.5" customHeight="1">
      <c r="B13" s="271" t="s">
        <v>772</v>
      </c>
      <c r="G13" s="290" t="s">
        <v>243</v>
      </c>
      <c r="H13" s="279">
        <v>0</v>
      </c>
      <c r="I13" s="223">
        <v>16.042999999999999</v>
      </c>
      <c r="J13" s="223">
        <f>H13/H28</f>
        <v>0</v>
      </c>
      <c r="K13" s="223">
        <f t="shared" si="0"/>
        <v>0</v>
      </c>
      <c r="L13" s="223">
        <f>K13/K28</f>
        <v>0</v>
      </c>
      <c r="M13" s="223">
        <f t="shared" si="1"/>
        <v>0</v>
      </c>
      <c r="N13" s="223">
        <f t="shared" si="2"/>
        <v>0</v>
      </c>
      <c r="O13" s="223">
        <v>46.04</v>
      </c>
      <c r="P13" s="223">
        <v>190.55</v>
      </c>
      <c r="Q13" s="223">
        <f t="shared" si="3"/>
        <v>4.9295819215227375E-2</v>
      </c>
      <c r="R13" s="223">
        <f t="shared" si="4"/>
        <v>0.55716392575335816</v>
      </c>
      <c r="S13" s="223">
        <f>(D4+273.15)/P13</f>
        <v>1.7745998425610074</v>
      </c>
      <c r="T13" s="223">
        <f t="shared" si="5"/>
        <v>0.66413205248180351</v>
      </c>
      <c r="U13" s="223">
        <f t="shared" si="6"/>
        <v>233047.14823439097</v>
      </c>
      <c r="V13" s="223">
        <f t="shared" si="7"/>
        <v>154774.0808819372</v>
      </c>
      <c r="W13" s="223">
        <f>H13/H28*SQRT(V13)</f>
        <v>0</v>
      </c>
      <c r="X13" s="223">
        <f>SQRT(V13)*W28*H13/H28</f>
        <v>0</v>
      </c>
      <c r="Y13" s="215">
        <f>H13/H28*0.08664*D6*0.00001*P13/O13</f>
        <v>0</v>
      </c>
    </row>
    <row r="14" spans="2:27" ht="22.5" customHeight="1">
      <c r="B14" s="270" t="s">
        <v>773</v>
      </c>
      <c r="G14" s="290" t="s">
        <v>240</v>
      </c>
      <c r="H14" s="279">
        <v>0.5</v>
      </c>
      <c r="I14" s="223">
        <v>30.07</v>
      </c>
      <c r="J14" s="223">
        <f>H14/H28</f>
        <v>0.5</v>
      </c>
      <c r="K14" s="223">
        <f t="shared" si="0"/>
        <v>15.035</v>
      </c>
      <c r="L14" s="223">
        <f>K14/K28</f>
        <v>0.40543638006121319</v>
      </c>
      <c r="M14" s="223">
        <f t="shared" si="1"/>
        <v>24.4</v>
      </c>
      <c r="N14" s="223">
        <f t="shared" si="2"/>
        <v>152.715</v>
      </c>
      <c r="O14" s="223">
        <v>48.8</v>
      </c>
      <c r="P14" s="223">
        <v>305.43</v>
      </c>
      <c r="Q14" s="223">
        <f t="shared" si="3"/>
        <v>0.11273182876412743</v>
      </c>
      <c r="R14" s="223">
        <f t="shared" si="4"/>
        <v>0.65520320859663184</v>
      </c>
      <c r="S14" s="223">
        <f>(D4+273.15)/P14</f>
        <v>1.1071276560914121</v>
      </c>
      <c r="T14" s="223">
        <f t="shared" si="5"/>
        <v>0.93276484137878357</v>
      </c>
      <c r="U14" s="223">
        <f t="shared" si="6"/>
        <v>564891.14109891152</v>
      </c>
      <c r="V14" s="223">
        <f t="shared" si="7"/>
        <v>526910.59562340623</v>
      </c>
      <c r="W14" s="223">
        <f>H14/H28*SQRT(V14)</f>
        <v>362.9430381008176</v>
      </c>
      <c r="X14" s="223">
        <f>SQRT(V14)*W28*H14/H28</f>
        <v>315025.19537014415</v>
      </c>
      <c r="Y14" s="215">
        <f>H14/H28*0.08664*D6*0.00001*P14/O14</f>
        <v>2.2542812476185246E-2</v>
      </c>
    </row>
    <row r="15" spans="2:27" ht="22.5" customHeight="1">
      <c r="B15" s="271" t="s">
        <v>774</v>
      </c>
      <c r="G15" s="290" t="s">
        <v>237</v>
      </c>
      <c r="H15" s="279">
        <v>0.5</v>
      </c>
      <c r="I15" s="223">
        <v>44.097000000000001</v>
      </c>
      <c r="J15" s="223">
        <f>H15/H28</f>
        <v>0.5</v>
      </c>
      <c r="K15" s="223">
        <f t="shared" si="0"/>
        <v>22.048500000000001</v>
      </c>
      <c r="L15" s="223">
        <f>K15/K28</f>
        <v>0.59456361993878681</v>
      </c>
      <c r="M15" s="223">
        <f t="shared" si="1"/>
        <v>21.245000000000001</v>
      </c>
      <c r="N15" s="223">
        <f t="shared" si="2"/>
        <v>184.91</v>
      </c>
      <c r="O15" s="223">
        <v>42.49</v>
      </c>
      <c r="P15" s="223">
        <v>369.82</v>
      </c>
      <c r="Q15" s="223">
        <f t="shared" si="3"/>
        <v>0.21800684925315128</v>
      </c>
      <c r="R15" s="223">
        <f t="shared" si="4"/>
        <v>0.81477803113191372</v>
      </c>
      <c r="S15" s="223">
        <f>(D4+273.15)/P15</f>
        <v>0.9143637445243632</v>
      </c>
      <c r="T15" s="223">
        <f t="shared" si="5"/>
        <v>1.0726081565322498</v>
      </c>
      <c r="U15" s="223">
        <f t="shared" si="6"/>
        <v>951163.6813098389</v>
      </c>
      <c r="V15" s="223">
        <f t="shared" si="7"/>
        <v>1020225.9227701747</v>
      </c>
      <c r="W15" s="223">
        <f>H15/H28*SQRT(V15)</f>
        <v>505.03116804069003</v>
      </c>
      <c r="X15" s="223">
        <f>SQRT(V15)*W28*H15/H28</f>
        <v>438354.0271568363</v>
      </c>
      <c r="Y15" s="215">
        <f>H15/H28*0.08664*D6*0.00001*P15/O15</f>
        <v>3.1348725666843019E-2</v>
      </c>
    </row>
    <row r="16" spans="2:27" ht="22.5" customHeight="1">
      <c r="B16" s="270" t="s">
        <v>775</v>
      </c>
      <c r="G16" s="290" t="s">
        <v>296</v>
      </c>
      <c r="H16" s="279">
        <v>0</v>
      </c>
      <c r="I16" s="223">
        <v>58.124000000000002</v>
      </c>
      <c r="J16" s="223">
        <f>H16/H28</f>
        <v>0</v>
      </c>
      <c r="K16" s="223">
        <f t="shared" si="0"/>
        <v>0</v>
      </c>
      <c r="L16" s="223">
        <f>K16/K28</f>
        <v>0</v>
      </c>
      <c r="M16" s="223">
        <f t="shared" si="1"/>
        <v>0</v>
      </c>
      <c r="N16" s="223">
        <f t="shared" si="2"/>
        <v>0</v>
      </c>
      <c r="O16" s="223">
        <v>36.479999999999997</v>
      </c>
      <c r="P16" s="223">
        <v>408.13</v>
      </c>
      <c r="Q16" s="223">
        <f t="shared" si="3"/>
        <v>0.36020537661513774</v>
      </c>
      <c r="R16" s="223">
        <f t="shared" si="4"/>
        <v>1.0241276300439552</v>
      </c>
      <c r="S16" s="223">
        <f>(D4+273.15)/P16</f>
        <v>0.82853502560458669</v>
      </c>
      <c r="T16" s="223">
        <f t="shared" si="5"/>
        <v>1.1923039764360159</v>
      </c>
      <c r="U16" s="223">
        <f t="shared" si="6"/>
        <v>1349284.1239757561</v>
      </c>
      <c r="V16" s="223">
        <f t="shared" si="7"/>
        <v>1608756.8263582804</v>
      </c>
      <c r="W16" s="223">
        <f>H16/H28*SQRT(V16)</f>
        <v>0</v>
      </c>
      <c r="X16" s="223">
        <f>SQRT(V16)*W28*H16/H28</f>
        <v>0</v>
      </c>
      <c r="Y16" s="215">
        <f>H16/H28*0.08664*D6*0.00001*P16/O16</f>
        <v>0</v>
      </c>
    </row>
    <row r="17" spans="2:25" ht="22.5" customHeight="1">
      <c r="B17" s="271" t="s">
        <v>776</v>
      </c>
      <c r="G17" s="290" t="s">
        <v>295</v>
      </c>
      <c r="H17" s="279">
        <v>0</v>
      </c>
      <c r="I17" s="223">
        <v>58.124000000000002</v>
      </c>
      <c r="J17" s="223">
        <f>H17/H28</f>
        <v>0</v>
      </c>
      <c r="K17" s="223">
        <f t="shared" si="0"/>
        <v>0</v>
      </c>
      <c r="L17" s="223">
        <f>K17/K28</f>
        <v>0</v>
      </c>
      <c r="M17" s="223">
        <f t="shared" si="1"/>
        <v>0</v>
      </c>
      <c r="N17" s="223">
        <f t="shared" si="2"/>
        <v>0</v>
      </c>
      <c r="O17" s="223">
        <v>37.97</v>
      </c>
      <c r="P17" s="223">
        <v>425.16</v>
      </c>
      <c r="Q17" s="223">
        <f t="shared" si="3"/>
        <v>0.36081652077471416</v>
      </c>
      <c r="R17" s="223">
        <f t="shared" si="4"/>
        <v>1.0250120168465415</v>
      </c>
      <c r="S17" s="223">
        <f>(D4+273.15)/P17</f>
        <v>0.79534763383196905</v>
      </c>
      <c r="T17" s="223">
        <f t="shared" si="5"/>
        <v>1.2340612323183646</v>
      </c>
      <c r="U17" s="223">
        <f t="shared" si="6"/>
        <v>1406777.4600561624</v>
      </c>
      <c r="V17" s="223">
        <f t="shared" si="7"/>
        <v>1736049.5259546067</v>
      </c>
      <c r="W17" s="223">
        <f>H17/H28*SQRT(V17)</f>
        <v>0</v>
      </c>
      <c r="X17" s="223">
        <f>SQRT(V17)*W28*H17/H28</f>
        <v>0</v>
      </c>
      <c r="Y17" s="215">
        <f>H17/H28*0.08664*D6*0.00001*P17/O17</f>
        <v>0</v>
      </c>
    </row>
    <row r="18" spans="2:25" ht="22.5" customHeight="1">
      <c r="B18" s="270" t="s">
        <v>777</v>
      </c>
      <c r="G18" s="290" t="s">
        <v>294</v>
      </c>
      <c r="H18" s="279">
        <v>0</v>
      </c>
      <c r="I18" s="223">
        <v>72.150999999999996</v>
      </c>
      <c r="J18" s="223">
        <f>H18/H28</f>
        <v>0</v>
      </c>
      <c r="K18" s="223">
        <f t="shared" si="0"/>
        <v>0</v>
      </c>
      <c r="L18" s="223">
        <f>K18/K28</f>
        <v>0</v>
      </c>
      <c r="M18" s="223">
        <f t="shared" si="1"/>
        <v>0</v>
      </c>
      <c r="N18" s="223">
        <f t="shared" si="2"/>
        <v>0</v>
      </c>
      <c r="O18" s="223">
        <v>33.81</v>
      </c>
      <c r="P18" s="223">
        <v>460.39</v>
      </c>
      <c r="Q18" s="223">
        <f t="shared" si="3"/>
        <v>0.53361033714866823</v>
      </c>
      <c r="R18" s="223">
        <f t="shared" si="4"/>
        <v>1.2697884320955066</v>
      </c>
      <c r="S18" s="223">
        <f>(D4+273.15)/P18</f>
        <v>0.73448597927843784</v>
      </c>
      <c r="T18" s="223">
        <f t="shared" si="5"/>
        <v>1.3960659573271248</v>
      </c>
      <c r="U18" s="223">
        <f t="shared" si="6"/>
        <v>1852540.8556586488</v>
      </c>
      <c r="V18" s="223">
        <f t="shared" si="7"/>
        <v>2586269.2231427026</v>
      </c>
      <c r="W18" s="223">
        <f>H18/H28*SQRT(V18)</f>
        <v>0</v>
      </c>
      <c r="X18" s="223">
        <f>SQRT(V18)*W28*H18/H28</f>
        <v>0</v>
      </c>
      <c r="Y18" s="215">
        <f>H18/H28*0.08664*D6*0.00001*P18/O18</f>
        <v>0</v>
      </c>
    </row>
    <row r="19" spans="2:25" ht="22.5" customHeight="1">
      <c r="B19" s="271" t="s">
        <v>778</v>
      </c>
      <c r="G19" s="290" t="s">
        <v>293</v>
      </c>
      <c r="H19" s="279">
        <v>0</v>
      </c>
      <c r="I19" s="223">
        <v>72.150999999999996</v>
      </c>
      <c r="J19" s="223">
        <f>H19/H28</f>
        <v>0</v>
      </c>
      <c r="K19" s="223">
        <f t="shared" si="0"/>
        <v>0</v>
      </c>
      <c r="L19" s="223">
        <f>K19/K28</f>
        <v>0</v>
      </c>
      <c r="M19" s="223">
        <f t="shared" si="1"/>
        <v>0</v>
      </c>
      <c r="N19" s="223">
        <f t="shared" si="2"/>
        <v>0</v>
      </c>
      <c r="O19" s="223">
        <v>33.69</v>
      </c>
      <c r="P19" s="223">
        <v>469.6</v>
      </c>
      <c r="Q19" s="223">
        <f t="shared" si="3"/>
        <v>0.5591353707587392</v>
      </c>
      <c r="R19" s="223">
        <f t="shared" si="4"/>
        <v>1.3050557777155571</v>
      </c>
      <c r="S19" s="223">
        <f>(D4+273.15)/P19</f>
        <v>0.72008091993185686</v>
      </c>
      <c r="T19" s="223">
        <f t="shared" si="5"/>
        <v>1.4342864854127977</v>
      </c>
      <c r="U19" s="223">
        <f t="shared" si="6"/>
        <v>1934266.7534359847</v>
      </c>
      <c r="V19" s="223">
        <f t="shared" si="7"/>
        <v>2774292.663636521</v>
      </c>
      <c r="W19" s="223">
        <f>H19/H28*SQRT(V19)</f>
        <v>0</v>
      </c>
      <c r="X19" s="223">
        <f>SQRT(V19)*W28*H19/H28</f>
        <v>0</v>
      </c>
      <c r="Y19" s="215">
        <f>H19/H28*0.08664*D6*0.00001*P19/O19</f>
        <v>0</v>
      </c>
    </row>
    <row r="20" spans="2:25" ht="22.5" customHeight="1">
      <c r="B20" s="270" t="s">
        <v>779</v>
      </c>
      <c r="G20" s="290" t="s">
        <v>292</v>
      </c>
      <c r="H20" s="279">
        <v>0</v>
      </c>
      <c r="I20" s="223">
        <v>86.177999999999997</v>
      </c>
      <c r="J20" s="223">
        <f>H20/H28</f>
        <v>0</v>
      </c>
      <c r="K20" s="223">
        <f t="shared" si="0"/>
        <v>0</v>
      </c>
      <c r="L20" s="223">
        <f>K20/K28</f>
        <v>0</v>
      </c>
      <c r="M20" s="223">
        <f t="shared" si="1"/>
        <v>0</v>
      </c>
      <c r="N20" s="223">
        <f t="shared" si="2"/>
        <v>0</v>
      </c>
      <c r="O20" s="223">
        <v>30.12</v>
      </c>
      <c r="P20" s="223">
        <v>507.4</v>
      </c>
      <c r="Q20" s="223">
        <f t="shared" si="3"/>
        <v>0.81668354013801736</v>
      </c>
      <c r="R20" s="223">
        <f t="shared" si="4"/>
        <v>1.648072819344343</v>
      </c>
      <c r="S20" s="223">
        <f>(D4+273.15)/P20</f>
        <v>0.66643673630271971</v>
      </c>
      <c r="T20" s="223">
        <f t="shared" si="5"/>
        <v>1.6969206549120823</v>
      </c>
      <c r="U20" s="223">
        <f t="shared" si="6"/>
        <v>2525847.696225279</v>
      </c>
      <c r="V20" s="223">
        <f t="shared" si="7"/>
        <v>4286163.1268867748</v>
      </c>
      <c r="W20" s="223">
        <f>H20/H28*SQRT(V20)</f>
        <v>0</v>
      </c>
      <c r="X20" s="223">
        <f>SQRT(V20)*W28*H20/H28</f>
        <v>0</v>
      </c>
      <c r="Y20" s="215">
        <f>H20/H28*0.08664*D6*0.00001*P20/O20</f>
        <v>0</v>
      </c>
    </row>
    <row r="21" spans="2:25" ht="22.5" customHeight="1">
      <c r="B21" s="271" t="s">
        <v>780</v>
      </c>
      <c r="G21" s="290" t="s">
        <v>291</v>
      </c>
      <c r="H21" s="279">
        <v>0</v>
      </c>
      <c r="I21" s="223">
        <v>100.205</v>
      </c>
      <c r="J21" s="223">
        <f>H21/H28</f>
        <v>0</v>
      </c>
      <c r="K21" s="223">
        <f t="shared" si="0"/>
        <v>0</v>
      </c>
      <c r="L21" s="223">
        <f>K21/K28</f>
        <v>0</v>
      </c>
      <c r="M21" s="223">
        <f t="shared" si="1"/>
        <v>0</v>
      </c>
      <c r="N21" s="223">
        <f t="shared" si="2"/>
        <v>0</v>
      </c>
      <c r="O21" s="223">
        <v>27.36</v>
      </c>
      <c r="P21" s="223">
        <v>540.20000000000005</v>
      </c>
      <c r="Q21" s="223">
        <f t="shared" si="3"/>
        <v>1.121862898529131</v>
      </c>
      <c r="R21" s="223">
        <f t="shared" si="4"/>
        <v>2.0243027623799241</v>
      </c>
      <c r="S21" s="223">
        <f>(D4+273.15)/P21</f>
        <v>0.62597186227323209</v>
      </c>
      <c r="T21" s="223">
        <f t="shared" si="5"/>
        <v>2.0240955996910177</v>
      </c>
      <c r="U21" s="223">
        <f t="shared" si="6"/>
        <v>3151768.1922612786</v>
      </c>
      <c r="V21" s="223">
        <f t="shared" si="7"/>
        <v>6379480.1292021675</v>
      </c>
      <c r="W21" s="223">
        <f>H21/H28*SQRT(V21)</f>
        <v>0</v>
      </c>
      <c r="X21" s="223">
        <f>SQRT(V21)*W28*H21/H28</f>
        <v>0</v>
      </c>
      <c r="Y21" s="215">
        <f>H21/H28*0.08664*D6*0.00001*P21/O21</f>
        <v>0</v>
      </c>
    </row>
    <row r="22" spans="2:25" ht="22.5" customHeight="1">
      <c r="B22" s="270" t="s">
        <v>781</v>
      </c>
      <c r="G22" s="290" t="s">
        <v>290</v>
      </c>
      <c r="H22" s="279">
        <v>0</v>
      </c>
      <c r="I22" s="223">
        <v>114.232</v>
      </c>
      <c r="J22" s="223">
        <f>H22/H28</f>
        <v>0</v>
      </c>
      <c r="K22" s="223">
        <f t="shared" si="0"/>
        <v>0</v>
      </c>
      <c r="L22" s="223">
        <f>K22/K28</f>
        <v>0</v>
      </c>
      <c r="M22" s="223">
        <f t="shared" si="1"/>
        <v>0</v>
      </c>
      <c r="N22" s="223">
        <f t="shared" si="2"/>
        <v>0</v>
      </c>
      <c r="O22" s="223">
        <v>24.86</v>
      </c>
      <c r="P22" s="223">
        <v>568.76</v>
      </c>
      <c r="Q22" s="223">
        <f t="shared" si="3"/>
        <v>1.5063248974862598</v>
      </c>
      <c r="R22" s="223">
        <f t="shared" si="4"/>
        <v>2.4516088020088627</v>
      </c>
      <c r="S22" s="223">
        <f>(D4+273.15)/P22</f>
        <v>0.59453899711653413</v>
      </c>
      <c r="T22" s="223">
        <f t="shared" si="5"/>
        <v>2.4375409609450367</v>
      </c>
      <c r="U22" s="223">
        <f t="shared" si="6"/>
        <v>3845193.2248730464</v>
      </c>
      <c r="V22" s="223">
        <f t="shared" si="7"/>
        <v>9372815.9883763902</v>
      </c>
      <c r="W22" s="223">
        <f>H22/H28*SQRT(V22)</f>
        <v>0</v>
      </c>
      <c r="X22" s="223">
        <f>SQRT(V22)*W28*H22/H28</f>
        <v>0</v>
      </c>
      <c r="Y22" s="215">
        <f>H22/H28*0.08664*D6*0.00001*P22/O22</f>
        <v>0</v>
      </c>
    </row>
    <row r="23" spans="2:25" ht="22.5" customHeight="1">
      <c r="B23" s="271" t="s">
        <v>782</v>
      </c>
      <c r="G23" s="281" t="s">
        <v>289</v>
      </c>
      <c r="H23" s="279">
        <v>0</v>
      </c>
      <c r="I23" s="283">
        <v>1</v>
      </c>
      <c r="J23" s="223">
        <f>H23/H28</f>
        <v>0</v>
      </c>
      <c r="K23" s="223">
        <f t="shared" si="0"/>
        <v>0</v>
      </c>
      <c r="L23" s="223">
        <f>K23/K28</f>
        <v>0</v>
      </c>
      <c r="M23" s="223">
        <f t="shared" si="1"/>
        <v>0</v>
      </c>
      <c r="N23" s="223">
        <f t="shared" si="2"/>
        <v>0</v>
      </c>
      <c r="O23" s="223">
        <v>1</v>
      </c>
      <c r="P23" s="223">
        <v>1</v>
      </c>
      <c r="Q23" s="283">
        <v>1</v>
      </c>
      <c r="R23" s="223">
        <f t="shared" si="4"/>
        <v>1.8780000000000003</v>
      </c>
      <c r="S23" s="223">
        <f>(D4+273.15)/P23</f>
        <v>338.15</v>
      </c>
      <c r="T23" s="223">
        <f t="shared" si="5"/>
        <v>1002.1194487993242</v>
      </c>
      <c r="U23" s="223">
        <f t="shared" si="6"/>
        <v>295.5025287172993</v>
      </c>
      <c r="V23" s="223">
        <f t="shared" si="7"/>
        <v>296128.83119698643</v>
      </c>
      <c r="W23" s="223">
        <f>H23/H28*SQRT(V23)</f>
        <v>0</v>
      </c>
      <c r="X23" s="223">
        <f>SQRT(V23)*W28*H23/H28</f>
        <v>0</v>
      </c>
      <c r="Y23" s="215">
        <f>H23/H28*0.08664*D6*0.00001*P23/O23</f>
        <v>0</v>
      </c>
    </row>
    <row r="24" spans="2:25" ht="22.5" customHeight="1">
      <c r="B24" s="270" t="s">
        <v>783</v>
      </c>
      <c r="G24" s="281" t="s">
        <v>289</v>
      </c>
      <c r="H24" s="279">
        <v>0</v>
      </c>
      <c r="I24" s="283">
        <v>1</v>
      </c>
      <c r="J24" s="223">
        <f>H24/H28</f>
        <v>0</v>
      </c>
      <c r="K24" s="223">
        <f t="shared" si="0"/>
        <v>0</v>
      </c>
      <c r="L24" s="223">
        <f>K24/K28</f>
        <v>0</v>
      </c>
      <c r="M24" s="223">
        <f t="shared" si="1"/>
        <v>0</v>
      </c>
      <c r="N24" s="223">
        <f t="shared" si="2"/>
        <v>0</v>
      </c>
      <c r="O24" s="223">
        <v>1</v>
      </c>
      <c r="P24" s="223">
        <v>1</v>
      </c>
      <c r="Q24" s="283">
        <v>1</v>
      </c>
      <c r="R24" s="223">
        <f t="shared" si="4"/>
        <v>1.8780000000000003</v>
      </c>
      <c r="S24" s="223">
        <f>(D4+273.15)/P24</f>
        <v>338.15</v>
      </c>
      <c r="T24" s="223">
        <f t="shared" si="5"/>
        <v>1002.1194487993242</v>
      </c>
      <c r="U24" s="223">
        <f t="shared" si="6"/>
        <v>295.5025287172993</v>
      </c>
      <c r="V24" s="223">
        <f t="shared" si="7"/>
        <v>296128.83119698643</v>
      </c>
      <c r="W24" s="223">
        <f>H24/H28*SQRT(V24)</f>
        <v>0</v>
      </c>
      <c r="X24" s="223">
        <f>SQRT(V24)*W28*H24/H28</f>
        <v>0</v>
      </c>
      <c r="Y24" s="215">
        <f>H24/H28*0.08664*D6*0.00001*P24/O24</f>
        <v>0</v>
      </c>
    </row>
    <row r="25" spans="2:25" ht="22.5" customHeight="1">
      <c r="B25" s="271" t="s">
        <v>784</v>
      </c>
      <c r="G25" s="281" t="s">
        <v>289</v>
      </c>
      <c r="H25" s="279">
        <v>0</v>
      </c>
      <c r="I25" s="283">
        <v>1</v>
      </c>
      <c r="J25" s="223">
        <f>H25/H28</f>
        <v>0</v>
      </c>
      <c r="K25" s="223">
        <f t="shared" si="0"/>
        <v>0</v>
      </c>
      <c r="L25" s="223">
        <f>K25/K28</f>
        <v>0</v>
      </c>
      <c r="M25" s="223">
        <f t="shared" si="1"/>
        <v>0</v>
      </c>
      <c r="N25" s="223">
        <f t="shared" si="2"/>
        <v>0</v>
      </c>
      <c r="O25" s="223">
        <v>1</v>
      </c>
      <c r="P25" s="223">
        <v>1</v>
      </c>
      <c r="Q25" s="283">
        <v>1</v>
      </c>
      <c r="R25" s="223">
        <f t="shared" si="4"/>
        <v>1.8780000000000003</v>
      </c>
      <c r="S25" s="223">
        <f>(D4+273.15)/P25</f>
        <v>338.15</v>
      </c>
      <c r="T25" s="223">
        <f t="shared" si="5"/>
        <v>1002.1194487993242</v>
      </c>
      <c r="U25" s="223">
        <f t="shared" si="6"/>
        <v>295.5025287172993</v>
      </c>
      <c r="V25" s="223">
        <f t="shared" si="7"/>
        <v>296128.83119698643</v>
      </c>
      <c r="W25" s="223">
        <f>H25/H28*SQRT(V25)</f>
        <v>0</v>
      </c>
      <c r="X25" s="223">
        <f>SQRT(V25)*W28*H25/H28</f>
        <v>0</v>
      </c>
      <c r="Y25" s="215">
        <f>H25/H28*0.08664*D6*0.00001*P25/O25</f>
        <v>0</v>
      </c>
    </row>
    <row r="26" spans="2:25" ht="22.5" customHeight="1">
      <c r="G26" s="281" t="s">
        <v>289</v>
      </c>
      <c r="H26" s="279">
        <v>0</v>
      </c>
      <c r="I26" s="283">
        <v>1</v>
      </c>
      <c r="J26" s="223">
        <f>H26/H28</f>
        <v>0</v>
      </c>
      <c r="K26" s="223">
        <f t="shared" si="0"/>
        <v>0</v>
      </c>
      <c r="L26" s="223">
        <f>K26/K28</f>
        <v>0</v>
      </c>
      <c r="M26" s="223">
        <f t="shared" si="1"/>
        <v>0</v>
      </c>
      <c r="N26" s="223">
        <f t="shared" si="2"/>
        <v>0</v>
      </c>
      <c r="O26" s="223">
        <v>1</v>
      </c>
      <c r="P26" s="223">
        <v>1</v>
      </c>
      <c r="Q26" s="283">
        <v>1</v>
      </c>
      <c r="R26" s="223">
        <f t="shared" si="4"/>
        <v>1.8780000000000003</v>
      </c>
      <c r="S26" s="223">
        <f>(D4+273.15)/P26</f>
        <v>338.15</v>
      </c>
      <c r="T26" s="223">
        <f t="shared" si="5"/>
        <v>1002.1194487993242</v>
      </c>
      <c r="U26" s="223">
        <f t="shared" si="6"/>
        <v>295.5025287172993</v>
      </c>
      <c r="V26" s="223">
        <f t="shared" si="7"/>
        <v>296128.83119698643</v>
      </c>
      <c r="W26" s="223">
        <f>H26/H28*SQRT(V26)</f>
        <v>0</v>
      </c>
      <c r="X26" s="223">
        <f>SQRT(V26)*W28*H26/H28</f>
        <v>0</v>
      </c>
      <c r="Y26" s="215">
        <f>H26/H28*0.08664*D6*0.00001*P26/O26</f>
        <v>0</v>
      </c>
    </row>
    <row r="27" spans="2:25" ht="22.5" customHeight="1" thickBot="1">
      <c r="G27" s="282" t="s">
        <v>289</v>
      </c>
      <c r="H27" s="280">
        <v>0</v>
      </c>
      <c r="I27" s="284">
        <v>1</v>
      </c>
      <c r="J27" s="224">
        <f>H27/H28</f>
        <v>0</v>
      </c>
      <c r="K27" s="224">
        <f t="shared" si="0"/>
        <v>0</v>
      </c>
      <c r="L27" s="224">
        <f>K27/K28</f>
        <v>0</v>
      </c>
      <c r="M27" s="224">
        <f t="shared" si="1"/>
        <v>0</v>
      </c>
      <c r="N27" s="224">
        <f t="shared" si="2"/>
        <v>0</v>
      </c>
      <c r="O27" s="224">
        <v>1</v>
      </c>
      <c r="P27" s="224">
        <v>1</v>
      </c>
      <c r="Q27" s="284">
        <v>1</v>
      </c>
      <c r="R27" s="224">
        <f t="shared" si="4"/>
        <v>1.8780000000000003</v>
      </c>
      <c r="S27" s="224">
        <f>(D4+273.15)/P27</f>
        <v>338.15</v>
      </c>
      <c r="T27" s="224">
        <f t="shared" si="5"/>
        <v>1002.1194487993242</v>
      </c>
      <c r="U27" s="224">
        <f t="shared" si="6"/>
        <v>295.5025287172993</v>
      </c>
      <c r="V27" s="224">
        <f t="shared" si="7"/>
        <v>296128.83119698643</v>
      </c>
      <c r="W27" s="223">
        <f>H27/H28*SQRT(V27)</f>
        <v>0</v>
      </c>
      <c r="X27" s="223">
        <f>SQRT(V27)*W28*H27/H28</f>
        <v>0</v>
      </c>
      <c r="Y27" s="215">
        <f>H27/H28*0.08664*D6*0.00001*P27/O27</f>
        <v>0</v>
      </c>
    </row>
    <row r="28" spans="2:25" ht="22.5" customHeight="1" thickBot="1">
      <c r="G28" s="275" t="s">
        <v>288</v>
      </c>
      <c r="H28" s="276">
        <f>SUM(H6:H27)</f>
        <v>1</v>
      </c>
      <c r="I28" s="277"/>
      <c r="J28" s="277"/>
      <c r="K28" s="277">
        <f>SUM(K6:K27)</f>
        <v>37.083500000000001</v>
      </c>
      <c r="L28" s="277"/>
      <c r="M28" s="277">
        <f>SUM(M6:M27)</f>
        <v>45.644999999999996</v>
      </c>
      <c r="N28" s="277">
        <f>SUM(N6:N27)</f>
        <v>337.625</v>
      </c>
      <c r="O28" s="277"/>
      <c r="P28" s="277"/>
      <c r="Q28" s="277"/>
      <c r="R28" s="277"/>
      <c r="S28" s="277"/>
      <c r="T28" s="277"/>
      <c r="U28" s="277"/>
      <c r="V28" s="277"/>
      <c r="W28" s="212">
        <f>SUM(W6:W27)</f>
        <v>867.97420614150769</v>
      </c>
      <c r="X28" s="222">
        <f>SUM(X6:X27)</f>
        <v>753379.22252698045</v>
      </c>
      <c r="Y28" s="213">
        <f>SUM(Y6:Y27)</f>
        <v>5.3891538143028266E-2</v>
      </c>
    </row>
    <row r="29" spans="2:25" ht="22.5" customHeight="1" thickBot="1">
      <c r="G29" s="46"/>
      <c r="H29" s="46"/>
      <c r="I29" s="46"/>
      <c r="J29" s="46"/>
      <c r="K29" s="46"/>
      <c r="L29" s="46"/>
      <c r="M29" s="46"/>
      <c r="N29" s="46"/>
      <c r="O29" s="46"/>
      <c r="P29" s="46"/>
      <c r="Q29" s="46"/>
      <c r="R29" s="46"/>
      <c r="S29" s="46"/>
      <c r="T29" s="46"/>
      <c r="U29" s="46"/>
      <c r="V29" s="46"/>
      <c r="W29" s="216" t="s">
        <v>287</v>
      </c>
      <c r="X29" s="224" t="s">
        <v>286</v>
      </c>
      <c r="Y29" s="217" t="s">
        <v>285</v>
      </c>
    </row>
    <row r="30" spans="2:25" ht="22.5" customHeight="1"/>
    <row r="31" spans="2:25" ht="22.5" customHeight="1"/>
    <row r="32" spans="2:25" ht="22.5" customHeight="1">
      <c r="X32" s="67"/>
    </row>
    <row r="33" spans="4:23" ht="22.5" customHeight="1"/>
    <row r="34" spans="4:23" ht="22.5" customHeight="1"/>
    <row r="35" spans="4:23" ht="22.5" customHeight="1"/>
    <row r="36" spans="4:23" ht="22.5" customHeight="1">
      <c r="W36" s="64"/>
    </row>
    <row r="37" spans="4:23" ht="22.5" customHeight="1"/>
    <row r="38" spans="4:23" ht="22.5" customHeight="1">
      <c r="D38" s="66"/>
      <c r="E38" s="64"/>
      <c r="F38" s="64"/>
      <c r="G38" s="64"/>
      <c r="H38" s="64"/>
      <c r="I38" s="64"/>
      <c r="J38" s="64"/>
      <c r="K38" s="64"/>
      <c r="L38" s="64"/>
      <c r="M38" s="64"/>
      <c r="N38" s="65"/>
      <c r="O38" s="64"/>
    </row>
    <row r="39" spans="4:23" ht="22.5" customHeight="1"/>
    <row r="40" spans="4:23" ht="22.5" customHeight="1">
      <c r="D40" s="63"/>
      <c r="E40" s="63"/>
      <c r="F40" s="63"/>
      <c r="R40" s="46"/>
    </row>
    <row r="41" spans="4:23" ht="22.5" customHeight="1"/>
    <row r="43" spans="4:23">
      <c r="E43" s="62"/>
      <c r="F43" s="62"/>
    </row>
    <row r="44" spans="4:23">
      <c r="E44" s="62"/>
      <c r="F44" s="62"/>
    </row>
    <row r="45" spans="4:23">
      <c r="E45" s="62"/>
      <c r="F45" s="62"/>
      <c r="R45" s="46"/>
      <c r="S45" s="46"/>
      <c r="T45" s="46"/>
      <c r="U45" s="46"/>
      <c r="V45" s="46"/>
      <c r="W45" s="46"/>
    </row>
    <row r="46" spans="4:23">
      <c r="E46" s="62"/>
      <c r="F46" s="62"/>
    </row>
    <row r="47" spans="4:23">
      <c r="E47" s="62"/>
      <c r="F47" s="62"/>
    </row>
    <row r="48" spans="4:23">
      <c r="E48" s="62"/>
      <c r="F48" s="62"/>
    </row>
    <row r="49" spans="5:25">
      <c r="E49" s="62"/>
      <c r="F49" s="62"/>
    </row>
    <row r="50" spans="5:25">
      <c r="E50" s="62"/>
      <c r="F50" s="62"/>
    </row>
    <row r="51" spans="5:25">
      <c r="E51" s="62"/>
      <c r="F51" s="62"/>
    </row>
    <row r="52" spans="5:25">
      <c r="E52" s="62"/>
      <c r="F52" s="62"/>
    </row>
    <row r="53" spans="5:25">
      <c r="E53" s="62"/>
      <c r="F53" s="62"/>
    </row>
    <row r="54" spans="5:25">
      <c r="E54" s="62"/>
      <c r="F54" s="62"/>
    </row>
    <row r="55" spans="5:25">
      <c r="E55" s="62"/>
      <c r="F55" s="62"/>
    </row>
    <row r="56" spans="5:25">
      <c r="E56" s="62"/>
      <c r="F56" s="62"/>
    </row>
    <row r="57" spans="5:25">
      <c r="E57" s="62"/>
      <c r="F57" s="62"/>
    </row>
    <row r="58" spans="5:25">
      <c r="E58" s="62"/>
      <c r="F58" s="62"/>
      <c r="U58" s="46"/>
      <c r="V58" s="46"/>
      <c r="W58" s="58" t="s">
        <v>284</v>
      </c>
      <c r="X58" s="285">
        <v>1E-3</v>
      </c>
      <c r="Y58" s="46"/>
    </row>
    <row r="59" spans="5:25">
      <c r="E59" s="62"/>
      <c r="F59" s="62"/>
      <c r="U59" s="58" t="s">
        <v>283</v>
      </c>
      <c r="V59" s="46">
        <f>X28*D5*100000/D6/D6/(D4+273.15)^2</f>
        <v>0.9531018107333924</v>
      </c>
      <c r="W59" s="58" t="s">
        <v>282</v>
      </c>
      <c r="X59" s="46" t="s">
        <v>281</v>
      </c>
      <c r="Y59" s="46"/>
    </row>
    <row r="60" spans="5:25">
      <c r="E60" s="62"/>
      <c r="F60" s="62"/>
      <c r="U60" s="58" t="s">
        <v>280</v>
      </c>
      <c r="V60" s="46">
        <f>Y28*D5*100000/D6/(D4+273.15)</f>
        <v>0.19168291585213967</v>
      </c>
      <c r="W60" s="58" t="s">
        <v>279</v>
      </c>
      <c r="X60" s="46">
        <f>X59*X59*X59-X59*X59+V61*X59-V62</f>
        <v>-0.18269333418533082</v>
      </c>
      <c r="Y60" s="46"/>
    </row>
    <row r="61" spans="5:25">
      <c r="U61" s="58" t="s">
        <v>278</v>
      </c>
      <c r="V61" s="46">
        <f>V59-V60-V60*V60</f>
        <v>0.72467655465167424</v>
      </c>
      <c r="W61" s="58" t="s">
        <v>277</v>
      </c>
      <c r="X61" s="46">
        <f>3*X59*X59-2*X59+V61</f>
        <v>0.72467655465167424</v>
      </c>
      <c r="Y61" s="46"/>
    </row>
    <row r="62" spans="5:25">
      <c r="U62" s="58" t="s">
        <v>276</v>
      </c>
      <c r="V62" s="46">
        <f>V59*V60</f>
        <v>0.18269333418533082</v>
      </c>
      <c r="W62" s="58" t="s">
        <v>275</v>
      </c>
      <c r="X62" s="46">
        <f>X59-X60/X61</f>
        <v>0.25210327698975288</v>
      </c>
      <c r="Y62" s="46"/>
    </row>
  </sheetData>
  <mergeCells count="1">
    <mergeCell ref="G4:G5"/>
  </mergeCells>
  <hyperlinks>
    <hyperlink ref="B4" location="'01'!A1" display="01 Length" xr:uid="{00000000-0004-0000-1600-000000000000}"/>
    <hyperlink ref="B5" location="'02'!A1" display="02 Area (small)" xr:uid="{00000000-0004-0000-1600-000001000000}"/>
    <hyperlink ref="B6" location="'03'!A1" display="03 Area (large)" xr:uid="{00000000-0004-0000-1600-000002000000}"/>
    <hyperlink ref="B7" location="'04'!A1" display="04 Volume" xr:uid="{00000000-0004-0000-1600-000003000000}"/>
    <hyperlink ref="B8" location="'05'!A1" display="05 Velocity" xr:uid="{00000000-0004-0000-1600-000004000000}"/>
    <hyperlink ref="B9" location="'06'!A1" display="06 Volume flow" xr:uid="{00000000-0004-0000-1600-000005000000}"/>
    <hyperlink ref="B10" location="'07'!A1" display="07 Mass" xr:uid="{00000000-0004-0000-1600-000006000000}"/>
    <hyperlink ref="B11" location="'08'!A1" display="08 Density" xr:uid="{00000000-0004-0000-1600-000007000000}"/>
    <hyperlink ref="B12" location="'09'!A1" display="09 Mass flow" xr:uid="{00000000-0004-0000-1600-000008000000}"/>
    <hyperlink ref="B13" location="'10'!A1" display="10 Force" xr:uid="{00000000-0004-0000-1600-000009000000}"/>
    <hyperlink ref="B14" location="'11'!A1" display="11 Pressure" xr:uid="{00000000-0004-0000-1600-00000A000000}"/>
    <hyperlink ref="B15" location="'12'!A1" display="12 Energy" xr:uid="{00000000-0004-0000-1600-00000B000000}"/>
    <hyperlink ref="B16" location="'13'!A1" display="13 Calorific value" xr:uid="{00000000-0004-0000-1600-00000C000000}"/>
    <hyperlink ref="B17" location="'14'!A1" display="14 Gas price" xr:uid="{00000000-0004-0000-1600-00000D000000}"/>
    <hyperlink ref="B18" location="'15'!A1" display="15 Temperature" xr:uid="{00000000-0004-0000-1600-00000E000000}"/>
    <hyperlink ref="B19" location="'16'!A1" display="16 API gravity" xr:uid="{00000000-0004-0000-1600-00000F000000}"/>
    <hyperlink ref="B20" location="'17'!A1" display="17 BOE" xr:uid="{00000000-0004-0000-1600-000010000000}"/>
    <hyperlink ref="B21" location="'18'!A1" display="18 LNG" xr:uid="{00000000-0004-0000-1600-000011000000}"/>
    <hyperlink ref="B22" location="'19'!A1" display="19 Emissions" xr:uid="{00000000-0004-0000-1600-000012000000}"/>
    <hyperlink ref="B23" location="'20'!A1" display="20 SI prefixes" xr:uid="{00000000-0004-0000-1600-000013000000}"/>
    <hyperlink ref="B24" location="'21'!A1" display="21 ISO 6974" xr:uid="{00000000-0004-0000-1600-000014000000}"/>
    <hyperlink ref="B25" location="'22'!A1" display="22 SRK equation" xr:uid="{00000000-0004-0000-1600-000015000000}"/>
  </hyperlinks>
  <pageMargins left="0.75" right="0.75" top="1" bottom="1" header="0.5" footer="0.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1"/>
  <sheetViews>
    <sheetView showGridLines="0" zoomScaleNormal="100" workbookViewId="0">
      <selection activeCell="B7" sqref="B7"/>
    </sheetView>
  </sheetViews>
  <sheetFormatPr defaultRowHeight="14.4"/>
  <cols>
    <col min="1" max="1" width="3.21875" customWidth="1"/>
    <col min="2" max="2" width="19.88671875" customWidth="1"/>
    <col min="3" max="3" width="2.77734375" customWidth="1"/>
    <col min="4" max="4" width="11.109375" customWidth="1"/>
    <col min="5" max="5" width="9.21875" customWidth="1"/>
    <col min="8" max="17" width="11.6640625" customWidth="1"/>
  </cols>
  <sheetData>
    <row r="1" spans="2:17" ht="7.95" customHeight="1"/>
    <row r="2" spans="2:17" ht="60.45" customHeight="1">
      <c r="D2" s="56" t="s">
        <v>796</v>
      </c>
      <c r="E2" s="3"/>
    </row>
    <row r="3" spans="2:17" ht="7.95" customHeight="1">
      <c r="H3" s="1"/>
      <c r="I3" s="1"/>
      <c r="J3" s="1"/>
      <c r="K3" s="1"/>
      <c r="L3" s="1"/>
      <c r="M3" s="1"/>
      <c r="N3" s="1"/>
      <c r="O3" s="2"/>
      <c r="P3" s="1"/>
      <c r="Q3" s="1"/>
    </row>
    <row r="4" spans="2:17" ht="22.5" customHeight="1">
      <c r="B4" s="270" t="s">
        <v>763</v>
      </c>
      <c r="H4" s="1"/>
      <c r="I4" s="1"/>
      <c r="J4" s="1"/>
      <c r="K4" s="1"/>
      <c r="L4" s="1"/>
      <c r="M4" s="1"/>
      <c r="N4" s="1"/>
      <c r="O4" s="2"/>
      <c r="P4" s="1"/>
      <c r="Q4" s="1"/>
    </row>
    <row r="5" spans="2:17" ht="22.5" customHeight="1" thickBot="1">
      <c r="B5" s="271" t="s">
        <v>764</v>
      </c>
      <c r="G5" s="47"/>
      <c r="H5" s="1"/>
      <c r="I5" s="1"/>
      <c r="J5" s="1"/>
      <c r="K5" s="1"/>
      <c r="L5" s="1"/>
      <c r="M5" s="1"/>
      <c r="N5" s="1"/>
      <c r="O5" s="2"/>
      <c r="P5" s="1"/>
      <c r="Q5" s="1"/>
    </row>
    <row r="6" spans="2:17" ht="22.5" customHeight="1" thickBot="1">
      <c r="B6" s="270" t="s">
        <v>765</v>
      </c>
      <c r="D6" s="169">
        <v>1</v>
      </c>
      <c r="E6" s="168" t="s">
        <v>75</v>
      </c>
      <c r="G6" s="18"/>
      <c r="H6" s="263" t="s">
        <v>73</v>
      </c>
      <c r="I6" s="264" t="s">
        <v>74</v>
      </c>
      <c r="J6" s="264" t="s">
        <v>75</v>
      </c>
      <c r="K6" s="264" t="s">
        <v>76</v>
      </c>
      <c r="L6" s="264" t="s">
        <v>77</v>
      </c>
      <c r="M6" s="264" t="s">
        <v>78</v>
      </c>
      <c r="N6" s="264" t="s">
        <v>79</v>
      </c>
      <c r="O6" s="264" t="s">
        <v>80</v>
      </c>
      <c r="P6" s="264" t="s">
        <v>81</v>
      </c>
      <c r="Q6" s="265" t="s">
        <v>82</v>
      </c>
    </row>
    <row r="7" spans="2:17" ht="22.5" customHeight="1">
      <c r="B7" s="271" t="s">
        <v>766</v>
      </c>
      <c r="D7" s="48">
        <f>D6*H51</f>
        <v>645.16</v>
      </c>
      <c r="E7" s="48" t="s">
        <v>73</v>
      </c>
      <c r="G7" s="22" t="s">
        <v>73</v>
      </c>
      <c r="H7" s="30">
        <v>1</v>
      </c>
      <c r="I7" s="31">
        <v>0.01</v>
      </c>
      <c r="J7" s="31" t="s">
        <v>83</v>
      </c>
      <c r="K7" s="31" t="s">
        <v>84</v>
      </c>
      <c r="L7" s="31" t="s">
        <v>85</v>
      </c>
      <c r="M7" s="31" t="s">
        <v>24</v>
      </c>
      <c r="N7" s="31"/>
      <c r="O7" s="31"/>
      <c r="P7" s="31"/>
      <c r="Q7" s="32"/>
    </row>
    <row r="8" spans="2:17" ht="22.5" customHeight="1">
      <c r="B8" s="270" t="s">
        <v>767</v>
      </c>
      <c r="D8" s="48">
        <f>D6*I51</f>
        <v>6.4516</v>
      </c>
      <c r="E8" s="48" t="s">
        <v>74</v>
      </c>
      <c r="G8" s="22" t="s">
        <v>74</v>
      </c>
      <c r="H8" s="33">
        <v>100</v>
      </c>
      <c r="I8" s="7">
        <v>1</v>
      </c>
      <c r="J8" s="8" t="s">
        <v>86</v>
      </c>
      <c r="K8" s="8" t="s">
        <v>87</v>
      </c>
      <c r="L8" s="8" t="s">
        <v>88</v>
      </c>
      <c r="M8" s="8" t="s">
        <v>89</v>
      </c>
      <c r="N8" s="8"/>
      <c r="O8" s="8"/>
      <c r="P8" s="8"/>
      <c r="Q8" s="24"/>
    </row>
    <row r="9" spans="2:17" ht="22.5" customHeight="1">
      <c r="B9" s="271" t="s">
        <v>768</v>
      </c>
      <c r="D9" s="48">
        <f>D6*J51</f>
        <v>1</v>
      </c>
      <c r="E9" s="48" t="s">
        <v>75</v>
      </c>
      <c r="G9" s="22" t="s">
        <v>75</v>
      </c>
      <c r="H9" s="34">
        <v>645.16</v>
      </c>
      <c r="I9" s="9">
        <v>6.4516</v>
      </c>
      <c r="J9" s="4">
        <v>1</v>
      </c>
      <c r="K9" s="5" t="s">
        <v>90</v>
      </c>
      <c r="L9" s="5" t="s">
        <v>91</v>
      </c>
      <c r="M9" s="5" t="s">
        <v>92</v>
      </c>
      <c r="N9" s="5"/>
      <c r="O9" s="5"/>
      <c r="P9" s="5"/>
      <c r="Q9" s="23"/>
    </row>
    <row r="10" spans="2:17" ht="22.5" customHeight="1">
      <c r="B10" s="270" t="s">
        <v>769</v>
      </c>
      <c r="D10" s="48">
        <f>D6*K51</f>
        <v>6.9443999999999999E-3</v>
      </c>
      <c r="E10" s="48" t="s">
        <v>76</v>
      </c>
      <c r="G10" s="22" t="s">
        <v>76</v>
      </c>
      <c r="H10" s="35">
        <v>92903</v>
      </c>
      <c r="I10" s="6">
        <v>929</v>
      </c>
      <c r="J10" s="6">
        <v>144</v>
      </c>
      <c r="K10" s="7">
        <v>1</v>
      </c>
      <c r="L10" s="6">
        <v>0.1111</v>
      </c>
      <c r="M10" s="8">
        <v>9.2899999999999996E-2</v>
      </c>
      <c r="N10" s="6" t="s">
        <v>93</v>
      </c>
      <c r="O10" s="6" t="s">
        <v>94</v>
      </c>
      <c r="P10" s="6" t="s">
        <v>95</v>
      </c>
      <c r="Q10" s="24" t="s">
        <v>96</v>
      </c>
    </row>
    <row r="11" spans="2:17" ht="22.5" customHeight="1">
      <c r="B11" s="271" t="s">
        <v>770</v>
      </c>
      <c r="D11" s="48">
        <f>D6*L51</f>
        <v>7.7161000000000005E-4</v>
      </c>
      <c r="E11" s="48" t="s">
        <v>77</v>
      </c>
      <c r="G11" s="22" t="s">
        <v>77</v>
      </c>
      <c r="H11" s="36">
        <v>836127</v>
      </c>
      <c r="I11" s="9">
        <v>8364.27</v>
      </c>
      <c r="J11" s="5">
        <v>1296</v>
      </c>
      <c r="K11" s="9">
        <v>9</v>
      </c>
      <c r="L11" s="4">
        <v>1</v>
      </c>
      <c r="M11" s="5">
        <v>0.83609999999999995</v>
      </c>
      <c r="N11" s="5" t="s">
        <v>97</v>
      </c>
      <c r="O11" s="9" t="s">
        <v>98</v>
      </c>
      <c r="P11" s="9" t="s">
        <v>99</v>
      </c>
      <c r="Q11" s="23" t="s">
        <v>100</v>
      </c>
    </row>
    <row r="12" spans="2:17" ht="22.5" customHeight="1">
      <c r="B12" s="270" t="s">
        <v>771</v>
      </c>
      <c r="D12" s="48">
        <f>D6*M51</f>
        <v>6.4519999999999996E-4</v>
      </c>
      <c r="E12" s="48" t="s">
        <v>78</v>
      </c>
      <c r="G12" s="22" t="s">
        <v>78</v>
      </c>
      <c r="H12" s="35" t="s">
        <v>45</v>
      </c>
      <c r="I12" s="6">
        <v>10000</v>
      </c>
      <c r="J12" s="10">
        <v>1550</v>
      </c>
      <c r="K12" s="6">
        <v>10.763999999999999</v>
      </c>
      <c r="L12" s="6">
        <v>1.196</v>
      </c>
      <c r="M12" s="11">
        <v>1</v>
      </c>
      <c r="N12" s="6" t="s">
        <v>101</v>
      </c>
      <c r="O12" s="6" t="s">
        <v>89</v>
      </c>
      <c r="P12" s="6" t="s">
        <v>24</v>
      </c>
      <c r="Q12" s="24" t="s">
        <v>102</v>
      </c>
    </row>
    <row r="13" spans="2:17" ht="22.5" customHeight="1">
      <c r="B13" s="271" t="s">
        <v>772</v>
      </c>
      <c r="D13" s="48">
        <f>D6*N51</f>
        <v>0</v>
      </c>
      <c r="E13" s="48" t="s">
        <v>79</v>
      </c>
      <c r="G13" s="22" t="s">
        <v>79</v>
      </c>
      <c r="H13" s="37"/>
      <c r="I13" s="12"/>
      <c r="J13" s="12"/>
      <c r="K13" s="13">
        <v>43560</v>
      </c>
      <c r="L13" s="13">
        <v>4840</v>
      </c>
      <c r="M13" s="13">
        <v>4047</v>
      </c>
      <c r="N13" s="14">
        <v>1</v>
      </c>
      <c r="O13" s="13">
        <v>0.4047</v>
      </c>
      <c r="P13" s="13" t="s">
        <v>103</v>
      </c>
      <c r="Q13" s="25" t="s">
        <v>104</v>
      </c>
    </row>
    <row r="14" spans="2:17" ht="22.5" customHeight="1">
      <c r="B14" s="270" t="s">
        <v>773</v>
      </c>
      <c r="D14" s="48">
        <f>D6*O51</f>
        <v>0</v>
      </c>
      <c r="E14" s="48" t="s">
        <v>80</v>
      </c>
      <c r="G14" s="22" t="s">
        <v>80</v>
      </c>
      <c r="H14" s="38"/>
      <c r="I14" s="15"/>
      <c r="J14" s="16"/>
      <c r="K14" s="16">
        <v>107639</v>
      </c>
      <c r="L14" s="16">
        <v>11960</v>
      </c>
      <c r="M14" s="16">
        <v>10000</v>
      </c>
      <c r="N14" s="16">
        <v>2.4710000000000001</v>
      </c>
      <c r="O14" s="17">
        <v>1</v>
      </c>
      <c r="P14" s="16">
        <v>0.01</v>
      </c>
      <c r="Q14" s="57" t="s">
        <v>105</v>
      </c>
    </row>
    <row r="15" spans="2:17" ht="22.5" customHeight="1">
      <c r="B15" s="271" t="s">
        <v>774</v>
      </c>
      <c r="D15" s="48">
        <f>D6*P51</f>
        <v>0</v>
      </c>
      <c r="E15" s="48" t="s">
        <v>81</v>
      </c>
      <c r="G15" s="22" t="s">
        <v>81</v>
      </c>
      <c r="H15" s="37"/>
      <c r="I15" s="12"/>
      <c r="J15" s="12"/>
      <c r="K15" s="12" t="s">
        <v>106</v>
      </c>
      <c r="L15" s="13" t="s">
        <v>107</v>
      </c>
      <c r="M15" s="12" t="s">
        <v>45</v>
      </c>
      <c r="N15" s="13">
        <v>247.1</v>
      </c>
      <c r="O15" s="13">
        <v>100</v>
      </c>
      <c r="P15" s="14">
        <v>1</v>
      </c>
      <c r="Q15" s="51">
        <v>0.3861</v>
      </c>
    </row>
    <row r="16" spans="2:17" ht="22.5" customHeight="1" thickBot="1">
      <c r="B16" s="270" t="s">
        <v>775</v>
      </c>
      <c r="D16" s="48">
        <f>D6*Q51</f>
        <v>0</v>
      </c>
      <c r="E16" s="48" t="s">
        <v>82</v>
      </c>
      <c r="G16" s="27" t="s">
        <v>82</v>
      </c>
      <c r="H16" s="52"/>
      <c r="I16" s="53"/>
      <c r="J16" s="53"/>
      <c r="K16" s="54" t="s">
        <v>108</v>
      </c>
      <c r="L16" s="54" t="s">
        <v>109</v>
      </c>
      <c r="M16" s="54" t="s">
        <v>110</v>
      </c>
      <c r="N16" s="54">
        <v>640</v>
      </c>
      <c r="O16" s="54" t="s">
        <v>111</v>
      </c>
      <c r="P16" s="54" t="s">
        <v>112</v>
      </c>
      <c r="Q16" s="55">
        <v>1</v>
      </c>
    </row>
    <row r="17" spans="2:7" ht="22.5" customHeight="1">
      <c r="B17" s="271" t="s">
        <v>776</v>
      </c>
      <c r="D17" s="48"/>
      <c r="E17" s="48"/>
    </row>
    <row r="18" spans="2:7" ht="22.5" customHeight="1">
      <c r="B18" s="270" t="s">
        <v>777</v>
      </c>
      <c r="G18" s="46"/>
    </row>
    <row r="19" spans="2:7" ht="22.5" customHeight="1">
      <c r="B19" s="271" t="s">
        <v>778</v>
      </c>
      <c r="G19" s="46" t="s">
        <v>51</v>
      </c>
    </row>
    <row r="20" spans="2:7" ht="22.5" customHeight="1">
      <c r="B20" s="270" t="s">
        <v>779</v>
      </c>
      <c r="G20" s="46" t="s">
        <v>52</v>
      </c>
    </row>
    <row r="21" spans="2:7" ht="22.5" customHeight="1">
      <c r="B21" s="271" t="s">
        <v>780</v>
      </c>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7" hidden="1">
      <c r="H50" s="40">
        <v>2</v>
      </c>
      <c r="I50" s="41">
        <v>3</v>
      </c>
      <c r="J50" s="41">
        <v>4</v>
      </c>
      <c r="K50" s="41">
        <v>5</v>
      </c>
      <c r="L50" s="41">
        <v>6</v>
      </c>
      <c r="M50" s="41">
        <v>7</v>
      </c>
      <c r="N50" s="41">
        <v>8</v>
      </c>
      <c r="O50" s="41">
        <v>9</v>
      </c>
      <c r="P50" s="41">
        <v>10</v>
      </c>
      <c r="Q50" s="42">
        <v>11</v>
      </c>
    </row>
    <row r="51" spans="8:17" ht="15" hidden="1" thickBot="1">
      <c r="H51" s="43">
        <f t="shared" ref="H51:Q51" si="0">VLOOKUP($E$6,$G$7:$Q$16,H50,FALSE)</f>
        <v>645.16</v>
      </c>
      <c r="I51" s="44">
        <f t="shared" si="0"/>
        <v>6.4516</v>
      </c>
      <c r="J51" s="44">
        <f t="shared" si="0"/>
        <v>1</v>
      </c>
      <c r="K51" s="44" t="str">
        <f t="shared" si="0"/>
        <v>6.9444e-3</v>
      </c>
      <c r="L51" s="44" t="str">
        <f t="shared" si="0"/>
        <v>7.7161e-4</v>
      </c>
      <c r="M51" s="44" t="str">
        <f t="shared" si="0"/>
        <v>6.452e-4</v>
      </c>
      <c r="N51" s="44">
        <f t="shared" si="0"/>
        <v>0</v>
      </c>
      <c r="O51" s="44">
        <f t="shared" si="0"/>
        <v>0</v>
      </c>
      <c r="P51" s="44">
        <f t="shared" si="0"/>
        <v>0</v>
      </c>
      <c r="Q51" s="45">
        <f t="shared" si="0"/>
        <v>0</v>
      </c>
    </row>
  </sheetData>
  <dataValidations count="1">
    <dataValidation type="list" allowBlank="1" showInputMessage="1" showErrorMessage="1" sqref="E6" xr:uid="{00000000-0002-0000-0200-000000000000}">
      <formula1>E7:E16</formula1>
    </dataValidation>
  </dataValidations>
  <hyperlinks>
    <hyperlink ref="B4" location="'01'!A1" display="01 Length" xr:uid="{00000000-0004-0000-0200-000000000000}"/>
    <hyperlink ref="B5" location="'02'!A1" display="02 Area (small)" xr:uid="{00000000-0004-0000-0200-000001000000}"/>
    <hyperlink ref="B6" location="'03'!A1" display="03 Area (large)" xr:uid="{00000000-0004-0000-0200-000002000000}"/>
    <hyperlink ref="B7" location="'04'!A1" display="04 Volume" xr:uid="{00000000-0004-0000-0200-000003000000}"/>
    <hyperlink ref="B8" location="'05'!A1" display="05 Velocity" xr:uid="{00000000-0004-0000-0200-000004000000}"/>
    <hyperlink ref="B9" location="'06'!A1" display="06 Volume flow" xr:uid="{00000000-0004-0000-0200-000005000000}"/>
    <hyperlink ref="B10" location="'07'!A1" display="07 Mass" xr:uid="{00000000-0004-0000-0200-000006000000}"/>
    <hyperlink ref="B11" location="'08'!A1" display="08 Density" xr:uid="{00000000-0004-0000-0200-000007000000}"/>
    <hyperlink ref="B12" location="'09'!A1" display="09 Mass flow" xr:uid="{00000000-0004-0000-0200-000008000000}"/>
    <hyperlink ref="B13" location="'10'!A1" display="10 Force" xr:uid="{00000000-0004-0000-0200-000009000000}"/>
    <hyperlink ref="B14" location="'11'!A1" display="11 Pressure" xr:uid="{00000000-0004-0000-0200-00000A000000}"/>
    <hyperlink ref="B15" location="'12'!A1" display="12 Energy" xr:uid="{00000000-0004-0000-0200-00000B000000}"/>
    <hyperlink ref="B16" location="'13'!A1" display="13 Calorific value" xr:uid="{00000000-0004-0000-0200-00000C000000}"/>
    <hyperlink ref="B17" location="'14'!A1" display="14 Gas price" xr:uid="{00000000-0004-0000-0200-00000D000000}"/>
    <hyperlink ref="B18" location="'15'!A1" display="15 Temperature" xr:uid="{00000000-0004-0000-0200-00000E000000}"/>
    <hyperlink ref="B19" location="'16'!A1" display="16 API gravity" xr:uid="{00000000-0004-0000-0200-00000F000000}"/>
    <hyperlink ref="B20" location="'17'!A1" display="17 BOE" xr:uid="{00000000-0004-0000-0200-000010000000}"/>
    <hyperlink ref="B21" location="'18'!A1" display="18 LNG" xr:uid="{00000000-0004-0000-0200-000011000000}"/>
    <hyperlink ref="B22" location="'19'!A1" display="19 Emissions" xr:uid="{00000000-0004-0000-0200-000012000000}"/>
    <hyperlink ref="B23" location="'20'!A1" display="20 SI prefixes" xr:uid="{00000000-0004-0000-0200-000013000000}"/>
    <hyperlink ref="B24" location="'21'!A1" display="21 ISO 6974" xr:uid="{00000000-0004-0000-0200-000014000000}"/>
    <hyperlink ref="B25" location="'22'!A1" display="22 SRK equation" xr:uid="{00000000-0004-0000-0200-000015000000}"/>
  </hyperlink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51"/>
  <sheetViews>
    <sheetView showGridLines="0" workbookViewId="0">
      <selection activeCell="G24" sqref="G24"/>
    </sheetView>
  </sheetViews>
  <sheetFormatPr defaultRowHeight="14.4"/>
  <cols>
    <col min="1" max="1" width="3.21875" customWidth="1"/>
    <col min="2" max="2" width="19.88671875" customWidth="1"/>
    <col min="3" max="3" width="2.77734375" customWidth="1"/>
    <col min="4" max="4" width="11.109375" customWidth="1"/>
    <col min="5" max="5" width="9.21875" customWidth="1"/>
    <col min="8" max="17" width="11.6640625" customWidth="1"/>
  </cols>
  <sheetData>
    <row r="1" spans="2:17" ht="7.95" customHeight="1"/>
    <row r="2" spans="2:17" ht="60.45" customHeight="1">
      <c r="D2" s="56"/>
      <c r="E2" s="3"/>
    </row>
    <row r="3" spans="2:17" ht="7.95" customHeight="1">
      <c r="H3" s="1"/>
      <c r="I3" s="1"/>
      <c r="J3" s="1"/>
      <c r="K3" s="1"/>
      <c r="L3" s="1"/>
      <c r="M3" s="1"/>
      <c r="N3" s="1"/>
      <c r="O3" s="2"/>
      <c r="P3" s="1"/>
      <c r="Q3" s="1"/>
    </row>
    <row r="4" spans="2:17" ht="22.5" customHeight="1">
      <c r="B4" s="270" t="s">
        <v>763</v>
      </c>
      <c r="H4" s="1"/>
      <c r="I4" s="1"/>
      <c r="J4" s="1"/>
      <c r="K4" s="1"/>
      <c r="L4" s="1"/>
      <c r="M4" s="1"/>
      <c r="N4" s="1"/>
      <c r="O4" s="2"/>
      <c r="P4" s="1"/>
      <c r="Q4" s="1"/>
    </row>
    <row r="5" spans="2:17" ht="22.5" customHeight="1" thickBot="1">
      <c r="B5" s="271" t="s">
        <v>764</v>
      </c>
      <c r="H5" s="1"/>
      <c r="I5" s="1"/>
      <c r="J5" s="1"/>
      <c r="K5" s="1"/>
      <c r="L5" s="1"/>
      <c r="M5" s="1"/>
      <c r="N5" s="1"/>
      <c r="O5" s="2"/>
      <c r="P5" s="1"/>
      <c r="Q5" s="1"/>
    </row>
    <row r="6" spans="2:17" ht="22.5" customHeight="1" thickBot="1">
      <c r="B6" s="270" t="s">
        <v>765</v>
      </c>
      <c r="D6" s="169">
        <v>1</v>
      </c>
      <c r="E6" s="168" t="s">
        <v>73</v>
      </c>
      <c r="G6" s="18"/>
      <c r="H6" s="19" t="s">
        <v>73</v>
      </c>
      <c r="I6" s="20" t="s">
        <v>74</v>
      </c>
      <c r="J6" s="20" t="s">
        <v>75</v>
      </c>
      <c r="K6" s="20" t="s">
        <v>76</v>
      </c>
      <c r="L6" s="20" t="s">
        <v>77</v>
      </c>
      <c r="M6" s="20" t="s">
        <v>78</v>
      </c>
      <c r="N6" s="20" t="s">
        <v>79</v>
      </c>
      <c r="O6" s="20" t="s">
        <v>80</v>
      </c>
      <c r="P6" s="20" t="s">
        <v>81</v>
      </c>
      <c r="Q6" s="21" t="s">
        <v>82</v>
      </c>
    </row>
    <row r="7" spans="2:17" ht="22.5" customHeight="1">
      <c r="B7" s="271" t="s">
        <v>766</v>
      </c>
      <c r="D7" s="48">
        <f>D6*H51</f>
        <v>1</v>
      </c>
      <c r="E7" s="48" t="s">
        <v>73</v>
      </c>
      <c r="G7" s="22" t="s">
        <v>73</v>
      </c>
      <c r="H7" s="30">
        <v>1</v>
      </c>
      <c r="I7" s="31">
        <v>0.01</v>
      </c>
      <c r="J7" s="31" t="s">
        <v>83</v>
      </c>
      <c r="K7" s="31" t="s">
        <v>84</v>
      </c>
      <c r="L7" s="31" t="s">
        <v>85</v>
      </c>
      <c r="M7" s="31" t="s">
        <v>24</v>
      </c>
      <c r="N7" s="31"/>
      <c r="O7" s="31"/>
      <c r="P7" s="31"/>
      <c r="Q7" s="32"/>
    </row>
    <row r="8" spans="2:17" ht="22.5" customHeight="1">
      <c r="B8" s="270" t="s">
        <v>767</v>
      </c>
      <c r="D8" s="48">
        <f>D6*I51</f>
        <v>0.01</v>
      </c>
      <c r="E8" s="48" t="s">
        <v>74</v>
      </c>
      <c r="G8" s="22" t="s">
        <v>74</v>
      </c>
      <c r="H8" s="33">
        <v>100</v>
      </c>
      <c r="I8" s="7">
        <v>1</v>
      </c>
      <c r="J8" s="8" t="s">
        <v>86</v>
      </c>
      <c r="K8" s="8" t="s">
        <v>87</v>
      </c>
      <c r="L8" s="8" t="s">
        <v>88</v>
      </c>
      <c r="M8" s="8" t="s">
        <v>89</v>
      </c>
      <c r="N8" s="8"/>
      <c r="O8" s="8"/>
      <c r="P8" s="8"/>
      <c r="Q8" s="24"/>
    </row>
    <row r="9" spans="2:17" ht="22.5" customHeight="1">
      <c r="B9" s="271" t="s">
        <v>768</v>
      </c>
      <c r="D9" s="48">
        <f>D6*J51</f>
        <v>1.5499999999999999E-3</v>
      </c>
      <c r="E9" s="48" t="s">
        <v>75</v>
      </c>
      <c r="G9" s="22" t="s">
        <v>75</v>
      </c>
      <c r="H9" s="34">
        <v>645.16</v>
      </c>
      <c r="I9" s="9">
        <v>6.4516</v>
      </c>
      <c r="J9" s="4">
        <v>1</v>
      </c>
      <c r="K9" s="5" t="s">
        <v>90</v>
      </c>
      <c r="L9" s="5" t="s">
        <v>91</v>
      </c>
      <c r="M9" s="5" t="s">
        <v>92</v>
      </c>
      <c r="N9" s="5"/>
      <c r="O9" s="5"/>
      <c r="P9" s="5"/>
      <c r="Q9" s="23"/>
    </row>
    <row r="10" spans="2:17" ht="22.5" customHeight="1">
      <c r="B10" s="270" t="s">
        <v>769</v>
      </c>
      <c r="D10" s="48">
        <f>D6*K51</f>
        <v>1.076E-2</v>
      </c>
      <c r="E10" s="48" t="s">
        <v>76</v>
      </c>
      <c r="G10" s="22" t="s">
        <v>76</v>
      </c>
      <c r="H10" s="35">
        <v>92903</v>
      </c>
      <c r="I10" s="6">
        <v>929</v>
      </c>
      <c r="J10" s="6">
        <v>144</v>
      </c>
      <c r="K10" s="7">
        <v>1</v>
      </c>
      <c r="L10" s="6">
        <v>0.1111</v>
      </c>
      <c r="M10" s="8">
        <v>9.2899999999999996E-2</v>
      </c>
      <c r="N10" s="6" t="s">
        <v>93</v>
      </c>
      <c r="O10" s="6" t="s">
        <v>94</v>
      </c>
      <c r="P10" s="6" t="s">
        <v>95</v>
      </c>
      <c r="Q10" s="24" t="s">
        <v>96</v>
      </c>
    </row>
    <row r="11" spans="2:17" ht="22.5" customHeight="1">
      <c r="B11" s="271" t="s">
        <v>770</v>
      </c>
      <c r="D11" s="48">
        <f>D6*L51</f>
        <v>1.1960000000000001E-6</v>
      </c>
      <c r="E11" s="48" t="s">
        <v>77</v>
      </c>
      <c r="G11" s="22" t="s">
        <v>77</v>
      </c>
      <c r="H11" s="36">
        <v>836127</v>
      </c>
      <c r="I11" s="9">
        <v>8364.27</v>
      </c>
      <c r="J11" s="5">
        <v>1296</v>
      </c>
      <c r="K11" s="9">
        <v>9</v>
      </c>
      <c r="L11" s="4">
        <v>1</v>
      </c>
      <c r="M11" s="5">
        <v>0.83609999999999995</v>
      </c>
      <c r="N11" s="5" t="s">
        <v>97</v>
      </c>
      <c r="O11" s="9" t="s">
        <v>98</v>
      </c>
      <c r="P11" s="9" t="s">
        <v>99</v>
      </c>
      <c r="Q11" s="23" t="s">
        <v>100</v>
      </c>
    </row>
    <row r="12" spans="2:17" ht="22.5" customHeight="1">
      <c r="B12" s="270" t="s">
        <v>771</v>
      </c>
      <c r="D12" s="48">
        <f>D6*M51</f>
        <v>9.9999999999999995E-7</v>
      </c>
      <c r="E12" s="48" t="s">
        <v>78</v>
      </c>
      <c r="G12" s="22" t="s">
        <v>78</v>
      </c>
      <c r="H12" s="35" t="s">
        <v>45</v>
      </c>
      <c r="I12" s="6">
        <v>10000</v>
      </c>
      <c r="J12" s="10">
        <v>1550</v>
      </c>
      <c r="K12" s="6">
        <v>10.763999999999999</v>
      </c>
      <c r="L12" s="6">
        <v>1.196</v>
      </c>
      <c r="M12" s="11">
        <v>1</v>
      </c>
      <c r="N12" s="6" t="s">
        <v>101</v>
      </c>
      <c r="O12" s="6" t="s">
        <v>89</v>
      </c>
      <c r="P12" s="6" t="s">
        <v>24</v>
      </c>
      <c r="Q12" s="24" t="s">
        <v>102</v>
      </c>
    </row>
    <row r="13" spans="2:17" ht="22.5" customHeight="1">
      <c r="B13" s="271" t="s">
        <v>772</v>
      </c>
      <c r="D13" s="48">
        <f>D6*N51</f>
        <v>0</v>
      </c>
      <c r="E13" s="48" t="s">
        <v>79</v>
      </c>
      <c r="G13" s="22" t="s">
        <v>79</v>
      </c>
      <c r="H13" s="37"/>
      <c r="I13" s="12"/>
      <c r="J13" s="12"/>
      <c r="K13" s="13">
        <v>43560</v>
      </c>
      <c r="L13" s="13">
        <v>4840</v>
      </c>
      <c r="M13" s="13">
        <v>4047</v>
      </c>
      <c r="N13" s="14">
        <v>1</v>
      </c>
      <c r="O13" s="13">
        <v>0.4047</v>
      </c>
      <c r="P13" s="13" t="s">
        <v>103</v>
      </c>
      <c r="Q13" s="25" t="s">
        <v>104</v>
      </c>
    </row>
    <row r="14" spans="2:17" ht="22.5" customHeight="1">
      <c r="B14" s="270" t="s">
        <v>773</v>
      </c>
      <c r="D14" s="48">
        <f>D6*O51</f>
        <v>0</v>
      </c>
      <c r="E14" s="48" t="s">
        <v>80</v>
      </c>
      <c r="G14" s="22" t="s">
        <v>80</v>
      </c>
      <c r="H14" s="38"/>
      <c r="I14" s="15"/>
      <c r="J14" s="16"/>
      <c r="K14" s="16">
        <v>107639</v>
      </c>
      <c r="L14" s="16">
        <v>11960</v>
      </c>
      <c r="M14" s="16">
        <v>10000</v>
      </c>
      <c r="N14" s="16">
        <v>2.4710000000000001</v>
      </c>
      <c r="O14" s="17">
        <v>1</v>
      </c>
      <c r="P14" s="16">
        <v>0.01</v>
      </c>
      <c r="Q14" s="57" t="s">
        <v>105</v>
      </c>
    </row>
    <row r="15" spans="2:17" ht="22.5" customHeight="1">
      <c r="B15" s="271" t="s">
        <v>774</v>
      </c>
      <c r="D15" s="48">
        <f>D6*P51</f>
        <v>0</v>
      </c>
      <c r="E15" s="48" t="s">
        <v>81</v>
      </c>
      <c r="G15" s="22" t="s">
        <v>81</v>
      </c>
      <c r="H15" s="37"/>
      <c r="I15" s="12"/>
      <c r="J15" s="12"/>
      <c r="K15" s="12" t="s">
        <v>106</v>
      </c>
      <c r="L15" s="13" t="s">
        <v>107</v>
      </c>
      <c r="M15" s="12" t="s">
        <v>45</v>
      </c>
      <c r="N15" s="13">
        <v>247.1</v>
      </c>
      <c r="O15" s="13">
        <v>100</v>
      </c>
      <c r="P15" s="14">
        <v>1</v>
      </c>
      <c r="Q15" s="51">
        <v>0.3861</v>
      </c>
    </row>
    <row r="16" spans="2:17" ht="22.5" customHeight="1" thickBot="1">
      <c r="B16" s="270" t="s">
        <v>775</v>
      </c>
      <c r="D16" s="48">
        <f>D6*Q51</f>
        <v>0</v>
      </c>
      <c r="E16" s="48" t="s">
        <v>82</v>
      </c>
      <c r="G16" s="27" t="s">
        <v>82</v>
      </c>
      <c r="H16" s="52"/>
      <c r="I16" s="53"/>
      <c r="J16" s="53"/>
      <c r="K16" s="54" t="s">
        <v>108</v>
      </c>
      <c r="L16" s="54" t="s">
        <v>109</v>
      </c>
      <c r="M16" s="54" t="s">
        <v>110</v>
      </c>
      <c r="N16" s="54">
        <v>640</v>
      </c>
      <c r="O16" s="54" t="s">
        <v>111</v>
      </c>
      <c r="P16" s="54" t="s">
        <v>112</v>
      </c>
      <c r="Q16" s="55">
        <v>1</v>
      </c>
    </row>
    <row r="17" spans="2:7" ht="22.5" customHeight="1">
      <c r="B17" s="271" t="s">
        <v>776</v>
      </c>
      <c r="D17" s="48"/>
      <c r="E17" s="48"/>
    </row>
    <row r="18" spans="2:7" ht="22.5" customHeight="1">
      <c r="B18" s="270" t="s">
        <v>777</v>
      </c>
      <c r="G18" s="46"/>
    </row>
    <row r="19" spans="2:7" ht="22.5" customHeight="1">
      <c r="B19" s="271" t="s">
        <v>778</v>
      </c>
      <c r="G19" s="46"/>
    </row>
    <row r="20" spans="2:7" ht="22.5" customHeight="1">
      <c r="B20" s="270" t="s">
        <v>779</v>
      </c>
      <c r="G20" s="46"/>
    </row>
    <row r="21" spans="2:7" ht="22.5" customHeight="1">
      <c r="B21" s="271" t="s">
        <v>780</v>
      </c>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7" hidden="1">
      <c r="H50" s="40">
        <v>2</v>
      </c>
      <c r="I50" s="41">
        <v>3</v>
      </c>
      <c r="J50" s="41">
        <v>4</v>
      </c>
      <c r="K50" s="41">
        <v>5</v>
      </c>
      <c r="L50" s="41">
        <v>6</v>
      </c>
      <c r="M50" s="41">
        <v>7</v>
      </c>
      <c r="N50" s="41">
        <v>8</v>
      </c>
      <c r="O50" s="41">
        <v>9</v>
      </c>
      <c r="P50" s="41">
        <v>10</v>
      </c>
      <c r="Q50" s="41">
        <v>11</v>
      </c>
    </row>
    <row r="51" spans="8:17" ht="15" hidden="1" thickBot="1">
      <c r="H51" s="43">
        <f t="shared" ref="H51:Q51" si="0">VLOOKUP($E$6,$G$7:$Q$16,H50,FALSE)</f>
        <v>1</v>
      </c>
      <c r="I51" s="44">
        <f t="shared" si="0"/>
        <v>0.01</v>
      </c>
      <c r="J51" s="44" t="str">
        <f t="shared" si="0"/>
        <v>1.550e-3</v>
      </c>
      <c r="K51" s="44" t="str">
        <f t="shared" si="0"/>
        <v>1076e-5</v>
      </c>
      <c r="L51" s="44" t="str">
        <f t="shared" si="0"/>
        <v>1.196e-6</v>
      </c>
      <c r="M51" s="44" t="str">
        <f t="shared" si="0"/>
        <v>1e-6</v>
      </c>
      <c r="N51" s="44">
        <f t="shared" si="0"/>
        <v>0</v>
      </c>
      <c r="O51" s="44">
        <f t="shared" si="0"/>
        <v>0</v>
      </c>
      <c r="P51" s="44">
        <f t="shared" si="0"/>
        <v>0</v>
      </c>
      <c r="Q51" s="44">
        <f t="shared" si="0"/>
        <v>0</v>
      </c>
    </row>
  </sheetData>
  <dataValidations count="1">
    <dataValidation type="list" allowBlank="1" showInputMessage="1" showErrorMessage="1" sqref="E6" xr:uid="{00000000-0002-0000-0300-000000000000}">
      <formula1>E7:E16</formula1>
    </dataValidation>
  </dataValidations>
  <hyperlinks>
    <hyperlink ref="B4" location="'01'!A1" display="01 Length" xr:uid="{00000000-0004-0000-0300-000000000000}"/>
    <hyperlink ref="B5" location="'02'!A1" display="02 Area (small)" xr:uid="{00000000-0004-0000-0300-000001000000}"/>
    <hyperlink ref="B6" location="'03'!A1" display="03 Area (large)" xr:uid="{00000000-0004-0000-0300-000002000000}"/>
    <hyperlink ref="B7" location="'04'!A1" display="04 Volume" xr:uid="{00000000-0004-0000-0300-000003000000}"/>
    <hyperlink ref="B8" location="'05'!A1" display="05 Velocity" xr:uid="{00000000-0004-0000-0300-000004000000}"/>
    <hyperlink ref="B9" location="'06'!A1" display="06 Volume flow" xr:uid="{00000000-0004-0000-0300-000005000000}"/>
    <hyperlink ref="B10" location="'07'!A1" display="07 Mass" xr:uid="{00000000-0004-0000-0300-000006000000}"/>
    <hyperlink ref="B11" location="'08'!A1" display="08 Density" xr:uid="{00000000-0004-0000-0300-000007000000}"/>
    <hyperlink ref="B12" location="'09'!A1" display="09 Mass flow" xr:uid="{00000000-0004-0000-0300-000008000000}"/>
    <hyperlink ref="B13" location="'10'!A1" display="10 Force" xr:uid="{00000000-0004-0000-0300-000009000000}"/>
    <hyperlink ref="B14" location="'11'!A1" display="11 Pressure" xr:uid="{00000000-0004-0000-0300-00000A000000}"/>
    <hyperlink ref="B15" location="'12'!A1" display="12 Energy" xr:uid="{00000000-0004-0000-0300-00000B000000}"/>
    <hyperlink ref="B16" location="'13'!A1" display="13 Calorific value" xr:uid="{00000000-0004-0000-0300-00000C000000}"/>
    <hyperlink ref="B17" location="'14'!A1" display="14 Gas price" xr:uid="{00000000-0004-0000-0300-00000D000000}"/>
    <hyperlink ref="B18" location="'15'!A1" display="15 Temperature" xr:uid="{00000000-0004-0000-0300-00000E000000}"/>
    <hyperlink ref="B19" location="'16'!A1" display="16 API gravity" xr:uid="{00000000-0004-0000-0300-00000F000000}"/>
    <hyperlink ref="B20" location="'17'!A1" display="17 BOE" xr:uid="{00000000-0004-0000-0300-000010000000}"/>
    <hyperlink ref="B21" location="'18'!A1" display="18 LNG" xr:uid="{00000000-0004-0000-0300-000011000000}"/>
    <hyperlink ref="B22" location="'19'!A1" display="19 Emissions" xr:uid="{00000000-0004-0000-0300-000012000000}"/>
    <hyperlink ref="B23" location="'20'!A1" display="20 SI prefixes" xr:uid="{00000000-0004-0000-0300-000013000000}"/>
    <hyperlink ref="B24" location="'21'!A1" display="21 ISO 6974" xr:uid="{00000000-0004-0000-0300-000014000000}"/>
    <hyperlink ref="B25" location="'22'!A1" display="22 SRK equation" xr:uid="{00000000-0004-0000-0300-000015000000}"/>
  </hyperlink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1"/>
  <sheetViews>
    <sheetView showGridLines="0" workbookViewId="0">
      <selection activeCell="B15" sqref="B15"/>
    </sheetView>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766</v>
      </c>
      <c r="E2" s="3"/>
    </row>
    <row r="3" spans="2:15" ht="7.95" customHeight="1">
      <c r="H3" s="1"/>
      <c r="I3" s="1"/>
      <c r="J3" s="1"/>
      <c r="K3" s="1"/>
      <c r="L3" s="1"/>
      <c r="M3" s="1"/>
      <c r="N3" s="1"/>
      <c r="O3" s="2"/>
    </row>
    <row r="4" spans="2:15" ht="22.5" customHeight="1">
      <c r="B4" s="270" t="s">
        <v>763</v>
      </c>
      <c r="H4" s="1"/>
      <c r="I4" s="1"/>
      <c r="J4" s="1"/>
      <c r="K4" s="1"/>
      <c r="L4" s="1"/>
      <c r="M4" s="1"/>
      <c r="N4" s="1"/>
      <c r="O4" s="2"/>
    </row>
    <row r="5" spans="2:15" ht="22.5" customHeight="1" thickBot="1">
      <c r="B5" s="271" t="s">
        <v>764</v>
      </c>
      <c r="H5" s="1"/>
      <c r="I5" s="1"/>
      <c r="J5" s="1"/>
      <c r="K5" s="1"/>
      <c r="L5" s="1"/>
      <c r="M5" s="1"/>
      <c r="N5" s="1"/>
      <c r="O5" s="2"/>
    </row>
    <row r="6" spans="2:15" ht="22.5" customHeight="1" thickBot="1">
      <c r="B6" s="270" t="s">
        <v>765</v>
      </c>
      <c r="D6" s="169">
        <v>1</v>
      </c>
      <c r="E6" s="168" t="s">
        <v>113</v>
      </c>
      <c r="G6" s="18"/>
      <c r="H6" s="19" t="s">
        <v>113</v>
      </c>
      <c r="I6" s="20" t="s">
        <v>114</v>
      </c>
      <c r="J6" s="20" t="s">
        <v>115</v>
      </c>
      <c r="K6" s="20" t="s">
        <v>116</v>
      </c>
      <c r="L6" s="20" t="s">
        <v>117</v>
      </c>
      <c r="M6" s="20" t="s">
        <v>118</v>
      </c>
      <c r="N6" s="20" t="s">
        <v>119</v>
      </c>
      <c r="O6" s="21" t="s">
        <v>120</v>
      </c>
    </row>
    <row r="7" spans="2:15" ht="22.5" customHeight="1">
      <c r="B7" s="271" t="s">
        <v>766</v>
      </c>
      <c r="D7" s="48">
        <f>D6*H51</f>
        <v>1</v>
      </c>
      <c r="E7" s="48" t="s">
        <v>113</v>
      </c>
      <c r="G7" s="22" t="s">
        <v>113</v>
      </c>
      <c r="H7" s="30">
        <v>1</v>
      </c>
      <c r="I7" s="31">
        <v>6.1025999999999997E-2</v>
      </c>
      <c r="J7" s="31" t="s">
        <v>13</v>
      </c>
      <c r="K7" s="31" t="s">
        <v>121</v>
      </c>
      <c r="L7" s="31" t="s">
        <v>122</v>
      </c>
      <c r="M7" s="31" t="s">
        <v>23</v>
      </c>
      <c r="N7" s="31" t="s">
        <v>123</v>
      </c>
      <c r="O7" s="32">
        <v>9.9999999999999995E-7</v>
      </c>
    </row>
    <row r="8" spans="2:15" ht="22.5" customHeight="1">
      <c r="B8" s="270" t="s">
        <v>767</v>
      </c>
      <c r="D8" s="48">
        <f>D6*I51</f>
        <v>6.1025999999999997E-2</v>
      </c>
      <c r="E8" s="48" t="s">
        <v>114</v>
      </c>
      <c r="G8" s="22" t="s">
        <v>114</v>
      </c>
      <c r="H8" s="33">
        <v>16.39</v>
      </c>
      <c r="I8" s="7">
        <v>1</v>
      </c>
      <c r="J8" s="8">
        <v>1.6389999999999998E-2</v>
      </c>
      <c r="K8" s="8" t="s">
        <v>124</v>
      </c>
      <c r="L8" s="8" t="s">
        <v>125</v>
      </c>
      <c r="M8" s="8" t="s">
        <v>126</v>
      </c>
      <c r="N8" s="8" t="s">
        <v>127</v>
      </c>
      <c r="O8" s="24" t="s">
        <v>128</v>
      </c>
    </row>
    <row r="9" spans="2:15" ht="22.5" customHeight="1">
      <c r="B9" s="271" t="s">
        <v>768</v>
      </c>
      <c r="D9" s="48">
        <f>D6*J51</f>
        <v>1E-3</v>
      </c>
      <c r="E9" s="48" t="s">
        <v>115</v>
      </c>
      <c r="G9" s="22" t="s">
        <v>115</v>
      </c>
      <c r="H9" s="34">
        <v>1000</v>
      </c>
      <c r="I9" s="9">
        <v>61.026000000000003</v>
      </c>
      <c r="J9" s="4">
        <v>1</v>
      </c>
      <c r="K9" s="5">
        <v>0.26419999999999999</v>
      </c>
      <c r="L9" s="5" t="s">
        <v>129</v>
      </c>
      <c r="M9" s="5">
        <v>3.5319999999999997E-2</v>
      </c>
      <c r="N9" s="5" t="s">
        <v>130</v>
      </c>
      <c r="O9" s="23" t="s">
        <v>131</v>
      </c>
    </row>
    <row r="10" spans="2:15" ht="22.5" customHeight="1">
      <c r="B10" s="270" t="s">
        <v>769</v>
      </c>
      <c r="D10" s="48">
        <f>D6*K51</f>
        <v>2.6420000000000003E-4</v>
      </c>
      <c r="E10" s="48" t="s">
        <v>116</v>
      </c>
      <c r="G10" s="22" t="s">
        <v>116</v>
      </c>
      <c r="H10" s="35">
        <v>3785</v>
      </c>
      <c r="I10" s="6" t="s">
        <v>132</v>
      </c>
      <c r="J10" s="6">
        <v>3.7850000000000001</v>
      </c>
      <c r="K10" s="7">
        <v>1</v>
      </c>
      <c r="L10" s="6">
        <v>0.83267999999999998</v>
      </c>
      <c r="M10" s="8">
        <v>0.13368099999999999</v>
      </c>
      <c r="N10" s="6" t="s">
        <v>133</v>
      </c>
      <c r="O10" s="49" t="s">
        <v>134</v>
      </c>
    </row>
    <row r="11" spans="2:15" ht="22.5" customHeight="1">
      <c r="B11" s="271" t="s">
        <v>770</v>
      </c>
      <c r="D11" s="48">
        <f>D6*L51</f>
        <v>2.2000000000000001E-4</v>
      </c>
      <c r="E11" s="48" t="s">
        <v>117</v>
      </c>
      <c r="G11" s="22" t="s">
        <v>117</v>
      </c>
      <c r="H11" s="36">
        <v>4546</v>
      </c>
      <c r="I11" s="9">
        <v>277.39999999999998</v>
      </c>
      <c r="J11" s="5">
        <v>4.5460000000000003</v>
      </c>
      <c r="K11" s="9">
        <v>1.2009000000000001</v>
      </c>
      <c r="L11" s="4">
        <v>1</v>
      </c>
      <c r="M11" s="5">
        <v>0.16054399999999999</v>
      </c>
      <c r="N11" s="5" t="s">
        <v>135</v>
      </c>
      <c r="O11" s="50" t="s">
        <v>26</v>
      </c>
    </row>
    <row r="12" spans="2:15" ht="22.5" customHeight="1">
      <c r="B12" s="270" t="s">
        <v>771</v>
      </c>
      <c r="D12" s="48">
        <f>D6*M51</f>
        <v>3.5320000000000001E-5</v>
      </c>
      <c r="E12" s="48" t="s">
        <v>118</v>
      </c>
      <c r="G12" s="22" t="s">
        <v>118</v>
      </c>
      <c r="H12" s="35" t="s">
        <v>42</v>
      </c>
      <c r="I12" s="6">
        <v>1728</v>
      </c>
      <c r="J12" s="10">
        <v>28.32</v>
      </c>
      <c r="K12" s="6">
        <v>7.4805000000000001</v>
      </c>
      <c r="L12" s="6">
        <v>6.2287999999999997</v>
      </c>
      <c r="M12" s="11">
        <v>1</v>
      </c>
      <c r="N12" s="6">
        <v>3.7039999999999997E-2</v>
      </c>
      <c r="O12" s="49">
        <v>2.8320000000000001E-2</v>
      </c>
    </row>
    <row r="13" spans="2:15" ht="22.5" customHeight="1">
      <c r="B13" s="271" t="s">
        <v>772</v>
      </c>
      <c r="D13" s="48">
        <f>D6*N51</f>
        <v>1.308E-6</v>
      </c>
      <c r="E13" s="48" t="s">
        <v>119</v>
      </c>
      <c r="G13" s="22" t="s">
        <v>119</v>
      </c>
      <c r="H13" s="37" t="s">
        <v>136</v>
      </c>
      <c r="I13" s="12">
        <v>46645</v>
      </c>
      <c r="J13" s="12">
        <v>764.53</v>
      </c>
      <c r="K13" s="13" t="s">
        <v>137</v>
      </c>
      <c r="L13" s="13">
        <v>168.2</v>
      </c>
      <c r="M13" s="13">
        <v>27</v>
      </c>
      <c r="N13" s="14">
        <v>1</v>
      </c>
      <c r="O13" s="51">
        <v>0.76456000000000002</v>
      </c>
    </row>
    <row r="14" spans="2:15" ht="22.5" customHeight="1" thickBot="1">
      <c r="B14" s="270" t="s">
        <v>773</v>
      </c>
      <c r="D14" s="48">
        <f>D6*O51</f>
        <v>9.9999999999999995E-7</v>
      </c>
      <c r="E14" s="48" t="s">
        <v>120</v>
      </c>
      <c r="G14" s="27" t="s">
        <v>120</v>
      </c>
      <c r="H14" s="52" t="s">
        <v>45</v>
      </c>
      <c r="I14" s="53">
        <v>61024</v>
      </c>
      <c r="J14" s="54" t="s">
        <v>138</v>
      </c>
      <c r="K14" s="54">
        <v>264.17</v>
      </c>
      <c r="L14" s="54">
        <v>219.96899999999999</v>
      </c>
      <c r="M14" s="54">
        <v>35.314700000000002</v>
      </c>
      <c r="N14" s="54">
        <v>1.3080000000000001</v>
      </c>
      <c r="O14" s="55">
        <v>1</v>
      </c>
    </row>
    <row r="15" spans="2:15" ht="22.5" customHeight="1">
      <c r="B15" s="271" t="s">
        <v>774</v>
      </c>
      <c r="D15" s="48"/>
      <c r="E15" s="48"/>
      <c r="G15" s="46"/>
    </row>
    <row r="16" spans="2:15" ht="22.5" customHeight="1">
      <c r="B16" s="270" t="s">
        <v>775</v>
      </c>
      <c r="D16" s="48"/>
      <c r="E16" s="48"/>
      <c r="G16" s="46" t="s">
        <v>139</v>
      </c>
      <c r="H16" s="199"/>
      <c r="I16" s="199"/>
      <c r="J16" s="199"/>
      <c r="K16" s="199"/>
      <c r="L16" s="199"/>
      <c r="M16" s="199"/>
      <c r="N16" s="199"/>
      <c r="O16" s="58" t="s">
        <v>144</v>
      </c>
    </row>
    <row r="17" spans="2:15" ht="22.5" customHeight="1">
      <c r="B17" s="271" t="s">
        <v>776</v>
      </c>
      <c r="D17" s="48"/>
      <c r="E17" s="48"/>
      <c r="G17" s="46" t="s">
        <v>141</v>
      </c>
      <c r="H17" s="199"/>
      <c r="I17" s="46" t="s">
        <v>142</v>
      </c>
      <c r="J17" s="199"/>
      <c r="K17" s="199"/>
      <c r="L17" s="199"/>
      <c r="M17" s="199"/>
      <c r="N17" s="199"/>
      <c r="O17" s="58" t="s">
        <v>145</v>
      </c>
    </row>
    <row r="18" spans="2:15" ht="22.5" customHeight="1">
      <c r="B18" s="270" t="s">
        <v>777</v>
      </c>
      <c r="G18" s="46" t="s">
        <v>163</v>
      </c>
      <c r="H18" s="199"/>
      <c r="I18" s="46" t="s">
        <v>143</v>
      </c>
      <c r="J18" s="199"/>
      <c r="K18" s="199"/>
      <c r="L18" s="199"/>
      <c r="M18" s="199"/>
      <c r="N18" s="199"/>
      <c r="O18" s="199"/>
    </row>
    <row r="19" spans="2:15" ht="22.5" customHeight="1">
      <c r="B19" s="271" t="s">
        <v>778</v>
      </c>
      <c r="G19" s="46" t="s">
        <v>140</v>
      </c>
      <c r="H19" s="199"/>
      <c r="I19" s="199"/>
      <c r="J19" s="199"/>
      <c r="K19" s="199"/>
      <c r="L19" s="199"/>
      <c r="M19" s="199"/>
      <c r="N19" s="199"/>
      <c r="O19" s="199"/>
    </row>
    <row r="20" spans="2:15" ht="22.5" customHeight="1">
      <c r="B20" s="270" t="s">
        <v>779</v>
      </c>
      <c r="G20" s="46" t="s">
        <v>797</v>
      </c>
      <c r="H20" s="199"/>
      <c r="I20" s="199"/>
      <c r="J20" s="199"/>
      <c r="K20" s="199"/>
      <c r="L20" s="199"/>
      <c r="M20" s="199"/>
      <c r="N20" s="199"/>
      <c r="O20" s="199"/>
    </row>
    <row r="21" spans="2:15" ht="22.5" customHeight="1">
      <c r="B21" s="271" t="s">
        <v>780</v>
      </c>
      <c r="G21" s="46" t="s">
        <v>800</v>
      </c>
      <c r="H21" s="199"/>
      <c r="I21" s="199"/>
      <c r="J21" s="199"/>
      <c r="K21" s="199"/>
      <c r="L21" s="199"/>
      <c r="M21" s="199"/>
      <c r="N21" s="199"/>
      <c r="O21" s="199"/>
    </row>
    <row r="22" spans="2:15" ht="22.5" customHeight="1">
      <c r="B22" s="270" t="s">
        <v>781</v>
      </c>
      <c r="G22" s="46" t="s">
        <v>801</v>
      </c>
    </row>
    <row r="23" spans="2:15" ht="22.5" customHeight="1">
      <c r="B23" s="271" t="s">
        <v>782</v>
      </c>
    </row>
    <row r="24" spans="2:15" ht="22.5" customHeight="1">
      <c r="B24" s="270" t="s">
        <v>783</v>
      </c>
    </row>
    <row r="25" spans="2:15" ht="22.5" customHeight="1">
      <c r="B25" s="271" t="s">
        <v>784</v>
      </c>
    </row>
    <row r="26" spans="2:15" ht="22.5" customHeight="1"/>
    <row r="27" spans="2:15" ht="22.5" customHeight="1"/>
    <row r="50" spans="8:15" hidden="1">
      <c r="H50" s="40">
        <v>2</v>
      </c>
      <c r="I50" s="41">
        <v>3</v>
      </c>
      <c r="J50" s="41">
        <v>4</v>
      </c>
      <c r="K50" s="41">
        <v>5</v>
      </c>
      <c r="L50" s="41">
        <v>6</v>
      </c>
      <c r="M50" s="41">
        <v>7</v>
      </c>
      <c r="N50" s="41">
        <v>8</v>
      </c>
      <c r="O50" s="41">
        <v>9</v>
      </c>
    </row>
    <row r="51" spans="8:15" ht="15" hidden="1" thickBot="1">
      <c r="H51" s="43">
        <f t="shared" ref="H51:O51" si="0">VLOOKUP($E$6,$G$7:$O$14,H50,FALSE)</f>
        <v>1</v>
      </c>
      <c r="I51" s="44">
        <f t="shared" si="0"/>
        <v>6.1025999999999997E-2</v>
      </c>
      <c r="J51" s="44" t="str">
        <f t="shared" si="0"/>
        <v>1e-3</v>
      </c>
      <c r="K51" s="44" t="str">
        <f t="shared" si="0"/>
        <v>2.642e-4</v>
      </c>
      <c r="L51" s="44" t="str">
        <f t="shared" si="0"/>
        <v>2.200e-4</v>
      </c>
      <c r="M51" s="44" t="str">
        <f t="shared" si="0"/>
        <v>3.532e-5</v>
      </c>
      <c r="N51" s="44" t="str">
        <f t="shared" si="0"/>
        <v>1.308e-6</v>
      </c>
      <c r="O51" s="44">
        <f t="shared" si="0"/>
        <v>9.9999999999999995E-7</v>
      </c>
    </row>
  </sheetData>
  <dataValidations count="1">
    <dataValidation type="list" allowBlank="1" showInputMessage="1" showErrorMessage="1" sqref="E6" xr:uid="{00000000-0002-0000-0400-000000000000}">
      <formula1>E7:E14</formula1>
    </dataValidation>
  </dataValidations>
  <hyperlinks>
    <hyperlink ref="B4" location="'01'!A1" display="01 Length" xr:uid="{00000000-0004-0000-0400-000000000000}"/>
    <hyperlink ref="B5" location="'02'!A1" display="02 Area (small)" xr:uid="{00000000-0004-0000-0400-000001000000}"/>
    <hyperlink ref="B6" location="'03'!A1" display="03 Area (large)" xr:uid="{00000000-0004-0000-0400-000002000000}"/>
    <hyperlink ref="B7" location="'04'!A1" display="04 Volume" xr:uid="{00000000-0004-0000-0400-000003000000}"/>
    <hyperlink ref="B8" location="'05'!A1" display="05 Velocity" xr:uid="{00000000-0004-0000-0400-000004000000}"/>
    <hyperlink ref="B9" location="'06'!A1" display="06 Volume flow" xr:uid="{00000000-0004-0000-0400-000005000000}"/>
    <hyperlink ref="B10" location="'07'!A1" display="07 Mass" xr:uid="{00000000-0004-0000-0400-000006000000}"/>
    <hyperlink ref="B11" location="'08'!A1" display="08 Density" xr:uid="{00000000-0004-0000-0400-000007000000}"/>
    <hyperlink ref="B12" location="'09'!A1" display="09 Mass flow" xr:uid="{00000000-0004-0000-0400-000008000000}"/>
    <hyperlink ref="B13" location="'10'!A1" display="10 Force" xr:uid="{00000000-0004-0000-0400-000009000000}"/>
    <hyperlink ref="B14" location="'11'!A1" display="11 Pressure" xr:uid="{00000000-0004-0000-0400-00000A000000}"/>
    <hyperlink ref="B15" location="'12'!A1" display="12 Energy" xr:uid="{00000000-0004-0000-0400-00000B000000}"/>
    <hyperlink ref="B16" location="'13'!A1" display="13 Calorific value" xr:uid="{00000000-0004-0000-0400-00000C000000}"/>
    <hyperlink ref="B17" location="'14'!A1" display="14 Gas price" xr:uid="{00000000-0004-0000-0400-00000D000000}"/>
    <hyperlink ref="B18" location="'15'!A1" display="15 Temperature" xr:uid="{00000000-0004-0000-0400-00000E000000}"/>
    <hyperlink ref="B19" location="'16'!A1" display="16 API gravity" xr:uid="{00000000-0004-0000-0400-00000F000000}"/>
    <hyperlink ref="B20" location="'17'!A1" display="17 BOE" xr:uid="{00000000-0004-0000-0400-000010000000}"/>
    <hyperlink ref="B21" location="'18'!A1" display="18 LNG" xr:uid="{00000000-0004-0000-0400-000011000000}"/>
    <hyperlink ref="B22" location="'19'!A1" display="19 Emissions" xr:uid="{00000000-0004-0000-0400-000012000000}"/>
    <hyperlink ref="B23" location="'20'!A1" display="20 SI prefixes" xr:uid="{00000000-0004-0000-0400-000013000000}"/>
    <hyperlink ref="B24" location="'21'!A1" display="21 ISO 6974" xr:uid="{00000000-0004-0000-0400-000014000000}"/>
    <hyperlink ref="B25" location="'22'!A1" display="22 SRK equation" xr:uid="{00000000-0004-0000-0400-000015000000}"/>
  </hyperlinks>
  <pageMargins left="0.7" right="0.7" top="0.75" bottom="0.75" header="0.3" footer="0.3"/>
  <pageSetup paperSize="9"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51"/>
  <sheetViews>
    <sheetView showGridLines="0" workbookViewId="0">
      <selection activeCell="B17" sqref="B17"/>
    </sheetView>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767</v>
      </c>
      <c r="E2" s="3"/>
    </row>
    <row r="3" spans="2:15" ht="7.95" customHeight="1">
      <c r="H3" s="1"/>
      <c r="I3" s="1"/>
      <c r="J3" s="1"/>
      <c r="K3" s="1"/>
      <c r="L3" s="1"/>
      <c r="M3" s="1"/>
      <c r="N3" s="1"/>
      <c r="O3" s="2"/>
    </row>
    <row r="4" spans="2:15" ht="22.5" customHeight="1">
      <c r="B4" s="270" t="s">
        <v>763</v>
      </c>
      <c r="H4" s="1"/>
      <c r="I4" s="1"/>
      <c r="J4" s="1"/>
      <c r="K4" s="1"/>
      <c r="L4" s="1"/>
      <c r="M4" s="1"/>
      <c r="N4" s="1"/>
      <c r="O4" s="2"/>
    </row>
    <row r="5" spans="2:15" ht="22.5" customHeight="1" thickBot="1">
      <c r="B5" s="271" t="s">
        <v>764</v>
      </c>
      <c r="H5" s="1"/>
      <c r="I5" s="1"/>
      <c r="J5" s="1"/>
      <c r="K5" s="1"/>
      <c r="L5" s="1"/>
      <c r="M5" s="1"/>
      <c r="N5" s="1"/>
      <c r="O5" s="2"/>
    </row>
    <row r="6" spans="2:15" ht="22.5" customHeight="1" thickBot="1">
      <c r="B6" s="270" t="s">
        <v>765</v>
      </c>
      <c r="D6" s="169">
        <v>1</v>
      </c>
      <c r="E6" s="168" t="s">
        <v>798</v>
      </c>
      <c r="G6" s="18"/>
      <c r="H6" s="19" t="s">
        <v>798</v>
      </c>
      <c r="I6" s="20" t="s">
        <v>147</v>
      </c>
      <c r="J6" s="20" t="s">
        <v>148</v>
      </c>
      <c r="K6" s="20" t="s">
        <v>149</v>
      </c>
      <c r="L6" s="20" t="s">
        <v>150</v>
      </c>
      <c r="M6" s="20" t="s">
        <v>151</v>
      </c>
      <c r="N6" s="20" t="s">
        <v>146</v>
      </c>
      <c r="O6" s="21" t="s">
        <v>152</v>
      </c>
    </row>
    <row r="7" spans="2:15" ht="22.5" customHeight="1">
      <c r="B7" s="271" t="s">
        <v>766</v>
      </c>
      <c r="D7" s="48">
        <f>D6*H51</f>
        <v>1</v>
      </c>
      <c r="E7" s="48" t="s">
        <v>798</v>
      </c>
      <c r="G7" s="22" t="s">
        <v>798</v>
      </c>
      <c r="H7" s="30">
        <v>1</v>
      </c>
      <c r="I7" s="31">
        <v>0.19685</v>
      </c>
      <c r="J7" s="31">
        <v>0.1</v>
      </c>
      <c r="K7" s="31" t="s">
        <v>21</v>
      </c>
      <c r="L7" s="31" t="s">
        <v>153</v>
      </c>
      <c r="M7" s="31" t="s">
        <v>154</v>
      </c>
      <c r="N7" s="31" t="s">
        <v>13</v>
      </c>
      <c r="O7" s="32" t="s">
        <v>24</v>
      </c>
    </row>
    <row r="8" spans="2:15" ht="22.5" customHeight="1">
      <c r="B8" s="270" t="s">
        <v>767</v>
      </c>
      <c r="D8" s="48">
        <f>D6*I51</f>
        <v>0.19685</v>
      </c>
      <c r="E8" s="48" t="s">
        <v>147</v>
      </c>
      <c r="G8" s="22" t="s">
        <v>147</v>
      </c>
      <c r="H8" s="33">
        <v>5.08</v>
      </c>
      <c r="I8" s="7">
        <v>1</v>
      </c>
      <c r="J8" s="8">
        <v>0.50800000000000001</v>
      </c>
      <c r="K8" s="8">
        <v>1.8287999999999999E-2</v>
      </c>
      <c r="L8" s="8">
        <v>1.6667000000000001E-2</v>
      </c>
      <c r="M8" s="8">
        <v>1.136E-2</v>
      </c>
      <c r="N8" s="8" t="s">
        <v>155</v>
      </c>
      <c r="O8" s="24" t="s">
        <v>156</v>
      </c>
    </row>
    <row r="9" spans="2:15" ht="22.5" customHeight="1">
      <c r="B9" s="271" t="s">
        <v>768</v>
      </c>
      <c r="D9" s="48">
        <f>D6*J51</f>
        <v>0.1</v>
      </c>
      <c r="E9" s="48" t="s">
        <v>148</v>
      </c>
      <c r="G9" s="22" t="s">
        <v>148</v>
      </c>
      <c r="H9" s="34">
        <v>10</v>
      </c>
      <c r="I9" s="9">
        <v>1.9684999999999999</v>
      </c>
      <c r="J9" s="4">
        <v>1</v>
      </c>
      <c r="K9" s="5">
        <v>3.5999999999999997E-2</v>
      </c>
      <c r="L9" s="5">
        <v>3.2807999999999997E-2</v>
      </c>
      <c r="M9" s="5">
        <v>2.2369E-2</v>
      </c>
      <c r="N9" s="5">
        <v>0.01</v>
      </c>
      <c r="O9" s="23" t="s">
        <v>157</v>
      </c>
    </row>
    <row r="10" spans="2:15" ht="22.5" customHeight="1">
      <c r="B10" s="270" t="s">
        <v>769</v>
      </c>
      <c r="D10" s="48">
        <f>D6*K51</f>
        <v>3.5999999999999999E-3</v>
      </c>
      <c r="E10" s="48" t="s">
        <v>149</v>
      </c>
      <c r="G10" s="22" t="s">
        <v>149</v>
      </c>
      <c r="H10" s="35">
        <v>277.77800000000002</v>
      </c>
      <c r="I10" s="6">
        <v>54.680599999999998</v>
      </c>
      <c r="J10" s="6">
        <v>27.777799999999999</v>
      </c>
      <c r="K10" s="7">
        <v>1</v>
      </c>
      <c r="L10" s="6">
        <v>0.91134400000000004</v>
      </c>
      <c r="M10" s="8">
        <v>0.62137100000000001</v>
      </c>
      <c r="N10" s="6">
        <v>0.27778000000000003</v>
      </c>
      <c r="O10" s="49" t="s">
        <v>15</v>
      </c>
    </row>
    <row r="11" spans="2:15" ht="22.5" customHeight="1">
      <c r="B11" s="271" t="s">
        <v>770</v>
      </c>
      <c r="D11" s="48">
        <f>D6*L51</f>
        <v>3.2810000000000001E-3</v>
      </c>
      <c r="E11" s="48" t="s">
        <v>150</v>
      </c>
      <c r="G11" s="22" t="s">
        <v>150</v>
      </c>
      <c r="H11" s="36">
        <v>304.8</v>
      </c>
      <c r="I11" s="9">
        <v>60</v>
      </c>
      <c r="J11" s="5">
        <v>30.48</v>
      </c>
      <c r="K11" s="9">
        <v>1.09728</v>
      </c>
      <c r="L11" s="4">
        <v>1</v>
      </c>
      <c r="M11" s="5">
        <v>0.68181800000000004</v>
      </c>
      <c r="N11" s="5">
        <v>0.30480000000000002</v>
      </c>
      <c r="O11" s="50" t="s">
        <v>64</v>
      </c>
    </row>
    <row r="12" spans="2:15" ht="22.5" customHeight="1">
      <c r="B12" s="270" t="s">
        <v>771</v>
      </c>
      <c r="D12" s="48">
        <f>D6*M51</f>
        <v>2.2369999999999998E-3</v>
      </c>
      <c r="E12" s="48" t="s">
        <v>151</v>
      </c>
      <c r="G12" s="22" t="s">
        <v>151</v>
      </c>
      <c r="H12" s="35">
        <v>447.04</v>
      </c>
      <c r="I12" s="6">
        <v>88</v>
      </c>
      <c r="J12" s="10">
        <v>44.704000000000001</v>
      </c>
      <c r="K12" s="6">
        <v>1.6093440000000001</v>
      </c>
      <c r="L12" s="6">
        <v>1.4666699999999999</v>
      </c>
      <c r="M12" s="11">
        <v>1</v>
      </c>
      <c r="N12" s="6">
        <v>0.44703999999999999</v>
      </c>
      <c r="O12" s="49" t="s">
        <v>158</v>
      </c>
    </row>
    <row r="13" spans="2:15" ht="22.5" customHeight="1">
      <c r="B13" s="271" t="s">
        <v>772</v>
      </c>
      <c r="D13" s="48">
        <f>D6*N51</f>
        <v>1E-3</v>
      </c>
      <c r="E13" s="48" t="s">
        <v>146</v>
      </c>
      <c r="G13" s="22" t="s">
        <v>146</v>
      </c>
      <c r="H13" s="37">
        <v>1000</v>
      </c>
      <c r="I13" s="12" t="s">
        <v>159</v>
      </c>
      <c r="J13" s="12">
        <v>100</v>
      </c>
      <c r="K13" s="13">
        <v>3.6</v>
      </c>
      <c r="L13" s="13">
        <v>3.2808000000000002</v>
      </c>
      <c r="M13" s="13">
        <v>2.2369400000000002</v>
      </c>
      <c r="N13" s="14">
        <v>1</v>
      </c>
      <c r="O13" s="51" t="s">
        <v>13</v>
      </c>
    </row>
    <row r="14" spans="2:15" ht="22.5" customHeight="1" thickBot="1">
      <c r="B14" s="270" t="s">
        <v>773</v>
      </c>
      <c r="D14" s="48">
        <f>D6*O51</f>
        <v>9.9999999999999995E-7</v>
      </c>
      <c r="E14" s="48" t="s">
        <v>152</v>
      </c>
      <c r="G14" s="27" t="s">
        <v>152</v>
      </c>
      <c r="H14" s="52" t="s">
        <v>45</v>
      </c>
      <c r="I14" s="53">
        <v>196850</v>
      </c>
      <c r="J14" s="54" t="s">
        <v>56</v>
      </c>
      <c r="K14" s="54">
        <v>3600</v>
      </c>
      <c r="L14" s="54">
        <v>3280.84</v>
      </c>
      <c r="M14" s="54">
        <v>2236.94</v>
      </c>
      <c r="N14" s="54" t="s">
        <v>160</v>
      </c>
      <c r="O14" s="55">
        <v>1</v>
      </c>
    </row>
    <row r="15" spans="2:15" ht="22.5" customHeight="1">
      <c r="B15" s="271" t="s">
        <v>774</v>
      </c>
      <c r="D15" s="48"/>
      <c r="E15" s="48"/>
      <c r="G15" s="46"/>
    </row>
    <row r="16" spans="2:15" ht="22.5" customHeight="1">
      <c r="B16" s="270" t="s">
        <v>775</v>
      </c>
      <c r="D16" s="48"/>
      <c r="E16" s="48"/>
      <c r="G16" s="46" t="s">
        <v>161</v>
      </c>
      <c r="O16" s="58"/>
    </row>
    <row r="17" spans="2:15" ht="22.5" customHeight="1">
      <c r="B17" s="271" t="s">
        <v>776</v>
      </c>
      <c r="D17" s="48"/>
      <c r="E17" s="48"/>
      <c r="G17" s="46" t="s">
        <v>162</v>
      </c>
      <c r="I17" s="46"/>
      <c r="O17" s="58"/>
    </row>
    <row r="18" spans="2:15" ht="22.5" customHeight="1">
      <c r="B18" s="270" t="s">
        <v>777</v>
      </c>
      <c r="G18" s="46"/>
      <c r="I18" s="46"/>
    </row>
    <row r="19" spans="2:15" ht="22.5" customHeight="1">
      <c r="B19" s="271" t="s">
        <v>778</v>
      </c>
      <c r="G19" s="46"/>
    </row>
    <row r="20" spans="2:15" ht="22.5" customHeight="1">
      <c r="B20" s="270" t="s">
        <v>779</v>
      </c>
    </row>
    <row r="21" spans="2:15" ht="22.5" customHeight="1">
      <c r="B21" s="271" t="s">
        <v>780</v>
      </c>
    </row>
    <row r="22" spans="2:15" ht="22.5" customHeight="1">
      <c r="B22" s="270" t="s">
        <v>781</v>
      </c>
    </row>
    <row r="23" spans="2:15" ht="22.5" customHeight="1">
      <c r="B23" s="271" t="s">
        <v>782</v>
      </c>
    </row>
    <row r="24" spans="2:15" ht="22.5" customHeight="1">
      <c r="B24" s="270" t="s">
        <v>783</v>
      </c>
    </row>
    <row r="25" spans="2:15" ht="22.5" customHeight="1">
      <c r="B25" s="271" t="s">
        <v>784</v>
      </c>
    </row>
    <row r="26" spans="2:15" ht="22.5" customHeight="1"/>
    <row r="27" spans="2:15" ht="22.5" customHeight="1"/>
    <row r="50" spans="8:15" hidden="1">
      <c r="H50" s="40">
        <v>2</v>
      </c>
      <c r="I50" s="41">
        <v>3</v>
      </c>
      <c r="J50" s="41">
        <v>4</v>
      </c>
      <c r="K50" s="41">
        <v>5</v>
      </c>
      <c r="L50" s="41">
        <v>6</v>
      </c>
      <c r="M50" s="41">
        <v>7</v>
      </c>
      <c r="N50" s="41">
        <v>8</v>
      </c>
      <c r="O50" s="41">
        <v>9</v>
      </c>
    </row>
    <row r="51" spans="8:15" ht="15" hidden="1" thickBot="1">
      <c r="H51" s="43">
        <f t="shared" ref="H51:O51" si="0">VLOOKUP($E$6,$G$7:$O$14,H50,FALSE)</f>
        <v>1</v>
      </c>
      <c r="I51" s="44">
        <f t="shared" si="0"/>
        <v>0.19685</v>
      </c>
      <c r="J51" s="44">
        <f t="shared" si="0"/>
        <v>0.1</v>
      </c>
      <c r="K51" s="44" t="str">
        <f t="shared" si="0"/>
        <v>3.6e-3</v>
      </c>
      <c r="L51" s="44" t="str">
        <f t="shared" si="0"/>
        <v>3.281e-3</v>
      </c>
      <c r="M51" s="44" t="str">
        <f t="shared" si="0"/>
        <v>2.237e-3</v>
      </c>
      <c r="N51" s="44" t="str">
        <f t="shared" si="0"/>
        <v>1e-3</v>
      </c>
      <c r="O51" s="44" t="str">
        <f t="shared" si="0"/>
        <v>1e-6</v>
      </c>
    </row>
  </sheetData>
  <dataValidations count="1">
    <dataValidation type="list" allowBlank="1" showInputMessage="1" showErrorMessage="1" sqref="E6" xr:uid="{00000000-0002-0000-0500-000000000000}">
      <formula1>E7:E14</formula1>
    </dataValidation>
  </dataValidations>
  <hyperlinks>
    <hyperlink ref="B4" location="'01'!A1" display="01 Length" xr:uid="{00000000-0004-0000-0500-000000000000}"/>
    <hyperlink ref="B5" location="'02'!A1" display="02 Area (small)" xr:uid="{00000000-0004-0000-0500-000001000000}"/>
    <hyperlink ref="B6" location="'03'!A1" display="03 Area (large)" xr:uid="{00000000-0004-0000-0500-000002000000}"/>
    <hyperlink ref="B7" location="'04'!A1" display="04 Volume" xr:uid="{00000000-0004-0000-0500-000003000000}"/>
    <hyperlink ref="B8" location="'05'!A1" display="05 Velocity" xr:uid="{00000000-0004-0000-0500-000004000000}"/>
    <hyperlink ref="B9" location="'06'!A1" display="06 Volume flow" xr:uid="{00000000-0004-0000-0500-000005000000}"/>
    <hyperlink ref="B10" location="'07'!A1" display="07 Mass" xr:uid="{00000000-0004-0000-0500-000006000000}"/>
    <hyperlink ref="B11" location="'08'!A1" display="08 Density" xr:uid="{00000000-0004-0000-0500-000007000000}"/>
    <hyperlink ref="B12" location="'09'!A1" display="09 Mass flow" xr:uid="{00000000-0004-0000-0500-000008000000}"/>
    <hyperlink ref="B13" location="'10'!A1" display="10 Force" xr:uid="{00000000-0004-0000-0500-000009000000}"/>
    <hyperlink ref="B14" location="'11'!A1" display="11 Pressure" xr:uid="{00000000-0004-0000-0500-00000A000000}"/>
    <hyperlink ref="B15" location="'12'!A1" display="12 Energy" xr:uid="{00000000-0004-0000-0500-00000B000000}"/>
    <hyperlink ref="B16" location="'13'!A1" display="13 Calorific value" xr:uid="{00000000-0004-0000-0500-00000C000000}"/>
    <hyperlink ref="B17" location="'14'!A1" display="14 Gas price" xr:uid="{00000000-0004-0000-0500-00000D000000}"/>
    <hyperlink ref="B18" location="'15'!A1" display="15 Temperature" xr:uid="{00000000-0004-0000-0500-00000E000000}"/>
    <hyperlink ref="B19" location="'16'!A1" display="16 API gravity" xr:uid="{00000000-0004-0000-0500-00000F000000}"/>
    <hyperlink ref="B20" location="'17'!A1" display="17 BOE" xr:uid="{00000000-0004-0000-0500-000010000000}"/>
    <hyperlink ref="B21" location="'18'!A1" display="18 LNG" xr:uid="{00000000-0004-0000-0500-000011000000}"/>
    <hyperlink ref="B22" location="'19'!A1" display="19 Emissions" xr:uid="{00000000-0004-0000-0500-000012000000}"/>
    <hyperlink ref="B23" location="'20'!A1" display="20 SI prefixes" xr:uid="{00000000-0004-0000-0500-000013000000}"/>
    <hyperlink ref="B24" location="'21'!A1" display="21 ISO 6974" xr:uid="{00000000-0004-0000-0500-000014000000}"/>
    <hyperlink ref="B25" location="'22'!A1" display="22 SRK equation" xr:uid="{00000000-0004-0000-0500-000015000000}"/>
  </hyperlinks>
  <pageMargins left="0.7" right="0.7" top="0.75" bottom="0.75" header="0.3" footer="0.3"/>
  <pageSetup paperSize="9"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51"/>
  <sheetViews>
    <sheetView showGridLines="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8" width="11.6640625" customWidth="1"/>
  </cols>
  <sheetData>
    <row r="1" spans="2:18" ht="7.95" customHeight="1"/>
    <row r="2" spans="2:18" ht="60.45" customHeight="1">
      <c r="D2" s="56" t="s">
        <v>768</v>
      </c>
      <c r="E2" s="3"/>
    </row>
    <row r="3" spans="2:18" ht="7.95" customHeight="1">
      <c r="H3" s="1"/>
      <c r="I3" s="1"/>
      <c r="J3" s="1"/>
      <c r="K3" s="1"/>
      <c r="L3" s="1"/>
      <c r="M3" s="1"/>
      <c r="N3" s="1"/>
      <c r="O3" s="2"/>
      <c r="P3" s="1"/>
      <c r="Q3" s="1"/>
      <c r="R3" s="1"/>
    </row>
    <row r="4" spans="2:18" ht="22.5" customHeight="1">
      <c r="B4" s="270" t="s">
        <v>763</v>
      </c>
      <c r="H4" s="1"/>
      <c r="I4" s="1"/>
      <c r="J4" s="1"/>
      <c r="K4" s="1"/>
      <c r="L4" s="1"/>
      <c r="M4" s="1"/>
      <c r="N4" s="1"/>
      <c r="O4" s="2"/>
      <c r="P4" s="1"/>
      <c r="Q4" s="1"/>
      <c r="R4" s="1"/>
    </row>
    <row r="5" spans="2:18" ht="22.5" customHeight="1" thickBot="1">
      <c r="B5" s="271" t="s">
        <v>764</v>
      </c>
      <c r="H5" s="1"/>
      <c r="I5" s="1"/>
      <c r="J5" s="1"/>
      <c r="K5" s="1"/>
      <c r="L5" s="1"/>
      <c r="M5" s="1"/>
      <c r="N5" s="1"/>
      <c r="O5" s="2"/>
      <c r="P5" s="1"/>
      <c r="Q5" s="1"/>
      <c r="R5" s="1"/>
    </row>
    <row r="6" spans="2:18" ht="22.5" customHeight="1" thickBot="1">
      <c r="B6" s="270" t="s">
        <v>765</v>
      </c>
      <c r="D6" s="169">
        <v>1</v>
      </c>
      <c r="E6" s="168" t="s">
        <v>0</v>
      </c>
      <c r="G6" s="18"/>
      <c r="H6" s="19" t="s">
        <v>0</v>
      </c>
      <c r="I6" s="20" t="s">
        <v>1</v>
      </c>
      <c r="J6" s="20" t="s">
        <v>2</v>
      </c>
      <c r="K6" s="20" t="s">
        <v>3</v>
      </c>
      <c r="L6" s="20" t="s">
        <v>4</v>
      </c>
      <c r="M6" s="20" t="s">
        <v>5</v>
      </c>
      <c r="N6" s="20" t="s">
        <v>6</v>
      </c>
      <c r="O6" s="20" t="s">
        <v>7</v>
      </c>
      <c r="P6" s="20" t="s">
        <v>8</v>
      </c>
      <c r="Q6" s="20" t="s">
        <v>9</v>
      </c>
      <c r="R6" s="21" t="s">
        <v>10</v>
      </c>
    </row>
    <row r="7" spans="2:18" ht="22.5" customHeight="1">
      <c r="B7" s="271" t="s">
        <v>766</v>
      </c>
      <c r="D7" s="48">
        <f>D6*H51</f>
        <v>1</v>
      </c>
      <c r="E7" s="48" t="s">
        <v>0</v>
      </c>
      <c r="G7" s="22" t="s">
        <v>0</v>
      </c>
      <c r="H7" s="30">
        <v>1</v>
      </c>
      <c r="I7" s="31">
        <v>0.27779999999999999</v>
      </c>
      <c r="J7" s="31" t="s">
        <v>11</v>
      </c>
      <c r="K7" s="31">
        <v>2.4E-2</v>
      </c>
      <c r="L7" s="31">
        <v>1.6670000000000001E-2</v>
      </c>
      <c r="M7" s="31" t="s">
        <v>12</v>
      </c>
      <c r="N7" s="31" t="s">
        <v>13</v>
      </c>
      <c r="O7" s="31" t="s">
        <v>14</v>
      </c>
      <c r="P7" s="31" t="s">
        <v>15</v>
      </c>
      <c r="Q7" s="31" t="s">
        <v>16</v>
      </c>
      <c r="R7" s="32" t="s">
        <v>17</v>
      </c>
    </row>
    <row r="8" spans="2:18" ht="22.5" customHeight="1">
      <c r="B8" s="270" t="s">
        <v>767</v>
      </c>
      <c r="D8" s="48">
        <f>D6*I51</f>
        <v>0.27779999999999999</v>
      </c>
      <c r="E8" s="48" t="s">
        <v>1</v>
      </c>
      <c r="G8" s="22" t="s">
        <v>1</v>
      </c>
      <c r="H8" s="33">
        <v>3.6</v>
      </c>
      <c r="I8" s="7">
        <v>1</v>
      </c>
      <c r="J8" s="8">
        <v>0.79190000000000005</v>
      </c>
      <c r="K8" s="8" t="s">
        <v>18</v>
      </c>
      <c r="L8" s="8" t="s">
        <v>19</v>
      </c>
      <c r="M8" s="8" t="s">
        <v>20</v>
      </c>
      <c r="N8" s="8" t="s">
        <v>21</v>
      </c>
      <c r="O8" s="8" t="s">
        <v>22</v>
      </c>
      <c r="P8" s="8" t="s">
        <v>13</v>
      </c>
      <c r="Q8" s="8" t="s">
        <v>23</v>
      </c>
      <c r="R8" s="24" t="s">
        <v>24</v>
      </c>
    </row>
    <row r="9" spans="2:18" ht="22.5" customHeight="1">
      <c r="B9" s="271" t="s">
        <v>768</v>
      </c>
      <c r="D9" s="48">
        <f>D6*J51</f>
        <v>0.22</v>
      </c>
      <c r="E9" s="48" t="s">
        <v>2</v>
      </c>
      <c r="G9" s="22" t="s">
        <v>2</v>
      </c>
      <c r="H9" s="34">
        <v>4.5460000000000003</v>
      </c>
      <c r="I9" s="9">
        <v>1.2629999999999999</v>
      </c>
      <c r="J9" s="4">
        <v>1</v>
      </c>
      <c r="K9" s="5">
        <v>0.1091</v>
      </c>
      <c r="L9" s="5">
        <v>7.5770000000000004E-2</v>
      </c>
      <c r="M9" s="5" t="s">
        <v>25</v>
      </c>
      <c r="N9" s="5" t="s">
        <v>26</v>
      </c>
      <c r="O9" s="5" t="s">
        <v>27</v>
      </c>
      <c r="P9" s="5" t="s">
        <v>28</v>
      </c>
      <c r="Q9" s="5" t="s">
        <v>29</v>
      </c>
      <c r="R9" s="23" t="s">
        <v>30</v>
      </c>
    </row>
    <row r="10" spans="2:18" ht="22.5" customHeight="1">
      <c r="B10" s="270" t="s">
        <v>769</v>
      </c>
      <c r="D10" s="48">
        <f>D6*K51</f>
        <v>2.4E-2</v>
      </c>
      <c r="E10" s="48" t="s">
        <v>3</v>
      </c>
      <c r="G10" s="22" t="s">
        <v>3</v>
      </c>
      <c r="H10" s="35">
        <v>41.67</v>
      </c>
      <c r="I10" s="6">
        <v>11.57</v>
      </c>
      <c r="J10" s="6">
        <v>9.1649999999999991</v>
      </c>
      <c r="K10" s="7">
        <v>1</v>
      </c>
      <c r="L10" s="6">
        <v>0.69440000000000002</v>
      </c>
      <c r="M10" s="8">
        <v>0.15279999999999999</v>
      </c>
      <c r="N10" s="6">
        <v>4.1669999999999999E-2</v>
      </c>
      <c r="O10" s="6">
        <v>2.452E-2</v>
      </c>
      <c r="P10" s="6">
        <v>1.157E-2</v>
      </c>
      <c r="Q10" s="8" t="s">
        <v>31</v>
      </c>
      <c r="R10" s="24" t="s">
        <v>32</v>
      </c>
    </row>
    <row r="11" spans="2:18" ht="22.5" customHeight="1">
      <c r="B11" s="271" t="s">
        <v>770</v>
      </c>
      <c r="D11" s="48">
        <f>D6*L51</f>
        <v>1.6670000000000001E-2</v>
      </c>
      <c r="E11" s="48" t="s">
        <v>4</v>
      </c>
      <c r="G11" s="22" t="s">
        <v>4</v>
      </c>
      <c r="H11" s="36">
        <v>60</v>
      </c>
      <c r="I11" s="9">
        <v>16.670000000000002</v>
      </c>
      <c r="J11" s="5" t="s">
        <v>33</v>
      </c>
      <c r="K11" s="9">
        <v>1.44</v>
      </c>
      <c r="L11" s="4">
        <v>1</v>
      </c>
      <c r="M11" s="5" t="s">
        <v>11</v>
      </c>
      <c r="N11" s="5" t="s">
        <v>19</v>
      </c>
      <c r="O11" s="9">
        <v>3.5310000000000001E-2</v>
      </c>
      <c r="P11" s="9">
        <v>1.6670000000000001E-2</v>
      </c>
      <c r="Q11" s="5" t="s">
        <v>14</v>
      </c>
      <c r="R11" s="23" t="s">
        <v>34</v>
      </c>
    </row>
    <row r="12" spans="2:18" ht="22.5" customHeight="1">
      <c r="B12" s="270" t="s">
        <v>771</v>
      </c>
      <c r="D12" s="48">
        <f>D6*M51</f>
        <v>3.666E-3</v>
      </c>
      <c r="E12" s="48" t="s">
        <v>5</v>
      </c>
      <c r="G12" s="22" t="s">
        <v>5</v>
      </c>
      <c r="H12" s="35">
        <v>272.8</v>
      </c>
      <c r="I12" s="6">
        <v>75.77</v>
      </c>
      <c r="J12" s="10">
        <v>60</v>
      </c>
      <c r="K12" s="6">
        <v>6.5469999999999997</v>
      </c>
      <c r="L12" s="6">
        <v>4.5430000000000001</v>
      </c>
      <c r="M12" s="11">
        <v>1</v>
      </c>
      <c r="N12" s="6">
        <v>0.27279999999999999</v>
      </c>
      <c r="O12" s="6">
        <v>0.1605</v>
      </c>
      <c r="P12" s="6">
        <v>7.5770000000000004E-2</v>
      </c>
      <c r="Q12" s="8" t="s">
        <v>27</v>
      </c>
      <c r="R12" s="24" t="s">
        <v>35</v>
      </c>
    </row>
    <row r="13" spans="2:18" ht="22.5" customHeight="1">
      <c r="B13" s="271" t="s">
        <v>772</v>
      </c>
      <c r="D13" s="48">
        <f>D6*N51</f>
        <v>1E-3</v>
      </c>
      <c r="E13" s="48" t="s">
        <v>6</v>
      </c>
      <c r="G13" s="22" t="s">
        <v>6</v>
      </c>
      <c r="H13" s="37">
        <v>1000</v>
      </c>
      <c r="I13" s="12">
        <v>277.8</v>
      </c>
      <c r="J13" s="12" t="s">
        <v>36</v>
      </c>
      <c r="K13" s="13">
        <v>24</v>
      </c>
      <c r="L13" s="13">
        <v>16.670000000000002</v>
      </c>
      <c r="M13" s="13">
        <v>3.6659999999999999</v>
      </c>
      <c r="N13" s="14">
        <v>1</v>
      </c>
      <c r="O13" s="13">
        <v>0.58860000000000001</v>
      </c>
      <c r="P13" s="13">
        <v>0.27779999999999999</v>
      </c>
      <c r="Q13" s="12" t="s">
        <v>37</v>
      </c>
      <c r="R13" s="25" t="s">
        <v>15</v>
      </c>
    </row>
    <row r="14" spans="2:18" ht="22.5" customHeight="1">
      <c r="B14" s="270" t="s">
        <v>773</v>
      </c>
      <c r="D14" s="48">
        <f>D6*O51</f>
        <v>5.886E-4</v>
      </c>
      <c r="E14" s="48" t="s">
        <v>7</v>
      </c>
      <c r="G14" s="22" t="s">
        <v>7</v>
      </c>
      <c r="H14" s="38">
        <v>1699</v>
      </c>
      <c r="I14" s="15">
        <v>471.9</v>
      </c>
      <c r="J14" s="16">
        <v>373.7</v>
      </c>
      <c r="K14" s="16">
        <v>40.78</v>
      </c>
      <c r="L14" s="16">
        <v>28.31</v>
      </c>
      <c r="M14" s="16">
        <v>6.2290000000000001</v>
      </c>
      <c r="N14" s="16">
        <v>1.6990000000000001</v>
      </c>
      <c r="O14" s="17">
        <v>1</v>
      </c>
      <c r="P14" s="16">
        <v>0.47189999999999999</v>
      </c>
      <c r="Q14" s="16">
        <v>1.6670000000000001E-2</v>
      </c>
      <c r="R14" s="26" t="s">
        <v>38</v>
      </c>
    </row>
    <row r="15" spans="2:18" ht="22.5" customHeight="1">
      <c r="B15" s="271" t="s">
        <v>774</v>
      </c>
      <c r="D15" s="48">
        <f>D6*P51</f>
        <v>2.7779999999999998E-4</v>
      </c>
      <c r="E15" s="48" t="s">
        <v>8</v>
      </c>
      <c r="G15" s="22" t="s">
        <v>8</v>
      </c>
      <c r="H15" s="37">
        <v>3600</v>
      </c>
      <c r="I15" s="12">
        <v>1000</v>
      </c>
      <c r="J15" s="12" t="s">
        <v>39</v>
      </c>
      <c r="K15" s="12" t="s">
        <v>40</v>
      </c>
      <c r="L15" s="13">
        <v>60</v>
      </c>
      <c r="M15" s="12" t="s">
        <v>33</v>
      </c>
      <c r="N15" s="13">
        <v>3.6</v>
      </c>
      <c r="O15" s="13">
        <v>2.1190000000000002</v>
      </c>
      <c r="P15" s="14">
        <v>1</v>
      </c>
      <c r="Q15" s="13">
        <v>3.5310000000000001E-2</v>
      </c>
      <c r="R15" s="25" t="s">
        <v>13</v>
      </c>
    </row>
    <row r="16" spans="2:18" ht="22.5" customHeight="1">
      <c r="B16" s="270" t="s">
        <v>775</v>
      </c>
      <c r="D16" s="48">
        <f>D6*Q51</f>
        <v>9.8099999999999992E-6</v>
      </c>
      <c r="E16" s="48" t="s">
        <v>9</v>
      </c>
      <c r="G16" s="22" t="s">
        <v>9</v>
      </c>
      <c r="H16" s="38" t="s">
        <v>41</v>
      </c>
      <c r="I16" s="15" t="s">
        <v>42</v>
      </c>
      <c r="J16" s="15" t="s">
        <v>43</v>
      </c>
      <c r="K16" s="16">
        <v>2446</v>
      </c>
      <c r="L16" s="16">
        <v>1699</v>
      </c>
      <c r="M16" s="16">
        <v>373.7</v>
      </c>
      <c r="N16" s="16">
        <v>101.9</v>
      </c>
      <c r="O16" s="16">
        <v>60</v>
      </c>
      <c r="P16" s="16">
        <v>28.32</v>
      </c>
      <c r="Q16" s="17">
        <v>1</v>
      </c>
      <c r="R16" s="26">
        <v>2.8320000000000001E-2</v>
      </c>
    </row>
    <row r="17" spans="2:18" ht="22.5" customHeight="1" thickBot="1">
      <c r="B17" s="271" t="s">
        <v>776</v>
      </c>
      <c r="D17" s="48">
        <f>D6*R51</f>
        <v>2.7780000000000001E-7</v>
      </c>
      <c r="E17" s="48" t="s">
        <v>10</v>
      </c>
      <c r="G17" s="27" t="s">
        <v>10</v>
      </c>
      <c r="H17" s="39" t="s">
        <v>44</v>
      </c>
      <c r="I17" s="28" t="s">
        <v>45</v>
      </c>
      <c r="J17" s="28" t="s">
        <v>46</v>
      </c>
      <c r="K17" s="28" t="s">
        <v>47</v>
      </c>
      <c r="L17" s="28" t="s">
        <v>48</v>
      </c>
      <c r="M17" s="28" t="s">
        <v>49</v>
      </c>
      <c r="N17" s="28">
        <v>3600</v>
      </c>
      <c r="O17" s="28">
        <v>2119</v>
      </c>
      <c r="P17" s="28">
        <v>1000</v>
      </c>
      <c r="Q17" s="28">
        <v>35.31</v>
      </c>
      <c r="R17" s="29">
        <v>1</v>
      </c>
    </row>
    <row r="18" spans="2:18" ht="22.5" customHeight="1">
      <c r="B18" s="270" t="s">
        <v>777</v>
      </c>
    </row>
    <row r="19" spans="2:18" ht="22.5" customHeight="1">
      <c r="B19" s="271" t="s">
        <v>778</v>
      </c>
      <c r="G19" s="46" t="s">
        <v>50</v>
      </c>
    </row>
    <row r="20" spans="2:18" ht="22.5" customHeight="1">
      <c r="B20" s="270" t="s">
        <v>779</v>
      </c>
      <c r="G20" s="46" t="s">
        <v>51</v>
      </c>
    </row>
    <row r="21" spans="2:18" ht="22.5" customHeight="1">
      <c r="B21" s="271" t="s">
        <v>780</v>
      </c>
      <c r="G21" s="46" t="s">
        <v>52</v>
      </c>
    </row>
    <row r="22" spans="2:18" ht="22.5" customHeight="1">
      <c r="B22" s="270" t="s">
        <v>781</v>
      </c>
    </row>
    <row r="23" spans="2:18" ht="22.5" customHeight="1">
      <c r="B23" s="271" t="s">
        <v>782</v>
      </c>
    </row>
    <row r="24" spans="2:18" ht="22.5" customHeight="1">
      <c r="B24" s="270" t="s">
        <v>783</v>
      </c>
    </row>
    <row r="25" spans="2:18" ht="22.5" customHeight="1">
      <c r="B25" s="271" t="s">
        <v>784</v>
      </c>
    </row>
    <row r="26" spans="2:18" ht="22.5" customHeight="1"/>
    <row r="27" spans="2:18" ht="22.5" customHeight="1"/>
    <row r="50" spans="8:18" hidden="1">
      <c r="H50" s="40">
        <v>2</v>
      </c>
      <c r="I50" s="41">
        <v>3</v>
      </c>
      <c r="J50" s="41">
        <v>4</v>
      </c>
      <c r="K50" s="41">
        <v>5</v>
      </c>
      <c r="L50" s="41">
        <v>6</v>
      </c>
      <c r="M50" s="41">
        <v>7</v>
      </c>
      <c r="N50" s="41">
        <v>8</v>
      </c>
      <c r="O50" s="41">
        <v>9</v>
      </c>
      <c r="P50" s="41">
        <v>10</v>
      </c>
      <c r="Q50" s="41">
        <v>11</v>
      </c>
      <c r="R50" s="42">
        <v>12</v>
      </c>
    </row>
    <row r="51" spans="8:18" ht="15" hidden="1" thickBot="1">
      <c r="H51" s="43">
        <f t="shared" ref="H51:R51" si="0">VLOOKUP($E$6,$G$7:$R$17,H50,FALSE)</f>
        <v>1</v>
      </c>
      <c r="I51" s="44">
        <f t="shared" si="0"/>
        <v>0.27779999999999999</v>
      </c>
      <c r="J51" s="44" t="str">
        <f t="shared" si="0"/>
        <v>0.2200</v>
      </c>
      <c r="K51" s="44">
        <f t="shared" si="0"/>
        <v>2.4E-2</v>
      </c>
      <c r="L51" s="44">
        <f t="shared" si="0"/>
        <v>1.6670000000000001E-2</v>
      </c>
      <c r="M51" s="44" t="str">
        <f t="shared" si="0"/>
        <v>3.666e-3</v>
      </c>
      <c r="N51" s="44" t="str">
        <f t="shared" si="0"/>
        <v>1e-3</v>
      </c>
      <c r="O51" s="44" t="str">
        <f t="shared" si="0"/>
        <v>5.886e-4</v>
      </c>
      <c r="P51" s="44" t="str">
        <f t="shared" si="0"/>
        <v>2.778e-4</v>
      </c>
      <c r="Q51" s="44" t="str">
        <f t="shared" si="0"/>
        <v>9.810e-6</v>
      </c>
      <c r="R51" s="45" t="str">
        <f t="shared" si="0"/>
        <v>2.778e-7</v>
      </c>
    </row>
  </sheetData>
  <dataValidations count="1">
    <dataValidation type="list" allowBlank="1" showInputMessage="1" showErrorMessage="1" sqref="E6" xr:uid="{00000000-0002-0000-0600-000000000000}">
      <formula1>E7:E17</formula1>
    </dataValidation>
  </dataValidations>
  <hyperlinks>
    <hyperlink ref="B4" location="'01'!A1" display="01 Length" xr:uid="{00000000-0004-0000-0600-000000000000}"/>
    <hyperlink ref="B5" location="'02'!A1" display="02 Area (small)" xr:uid="{00000000-0004-0000-0600-000001000000}"/>
    <hyperlink ref="B6" location="'03'!A1" display="03 Area (large)" xr:uid="{00000000-0004-0000-0600-000002000000}"/>
    <hyperlink ref="B7" location="'04'!A1" display="04 Volume" xr:uid="{00000000-0004-0000-0600-000003000000}"/>
    <hyperlink ref="B8" location="'05'!A1" display="05 Velocity" xr:uid="{00000000-0004-0000-0600-000004000000}"/>
    <hyperlink ref="B9" location="'06'!A1" display="06 Volume flow" xr:uid="{00000000-0004-0000-0600-000005000000}"/>
    <hyperlink ref="B10" location="'07'!A1" display="07 Mass" xr:uid="{00000000-0004-0000-0600-000006000000}"/>
    <hyperlink ref="B11" location="'08'!A1" display="08 Density" xr:uid="{00000000-0004-0000-0600-000007000000}"/>
    <hyperlink ref="B12" location="'09'!A1" display="09 Mass flow" xr:uid="{00000000-0004-0000-0600-000008000000}"/>
    <hyperlink ref="B13" location="'10'!A1" display="10 Force" xr:uid="{00000000-0004-0000-0600-000009000000}"/>
    <hyperlink ref="B14" location="'11'!A1" display="11 Pressure" xr:uid="{00000000-0004-0000-0600-00000A000000}"/>
    <hyperlink ref="B15" location="'12'!A1" display="12 Energy" xr:uid="{00000000-0004-0000-0600-00000B000000}"/>
    <hyperlink ref="B16" location="'13'!A1" display="13 Calorific value" xr:uid="{00000000-0004-0000-0600-00000C000000}"/>
    <hyperlink ref="B17" location="'14'!A1" display="14 Gas price" xr:uid="{00000000-0004-0000-0600-00000D000000}"/>
    <hyperlink ref="B18" location="'15'!A1" display="15 Temperature" xr:uid="{00000000-0004-0000-0600-00000E000000}"/>
    <hyperlink ref="B19" location="'16'!A1" display="16 API gravity" xr:uid="{00000000-0004-0000-0600-00000F000000}"/>
    <hyperlink ref="B20" location="'17'!A1" display="17 BOE" xr:uid="{00000000-0004-0000-0600-000010000000}"/>
    <hyperlink ref="B21" location="'18'!A1" display="18 LNG" xr:uid="{00000000-0004-0000-0600-000011000000}"/>
    <hyperlink ref="B22" location="'19'!A1" display="19 Emissions" xr:uid="{00000000-0004-0000-0600-000012000000}"/>
    <hyperlink ref="B23" location="'20'!A1" display="20 SI prefixes" xr:uid="{00000000-0004-0000-0600-000013000000}"/>
    <hyperlink ref="B24" location="'21'!A1" display="21 ISO 6974" xr:uid="{00000000-0004-0000-0600-000014000000}"/>
    <hyperlink ref="B25" location="'22'!A1" display="22 SRK equation" xr:uid="{00000000-0004-0000-0600-000015000000}"/>
  </hyperlink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51"/>
  <sheetViews>
    <sheetView showGridLines="0" workbookViewId="0">
      <selection activeCell="B11" sqref="B11"/>
    </sheetView>
  </sheetViews>
  <sheetFormatPr defaultRowHeight="14.4"/>
  <cols>
    <col min="1" max="1" width="3.21875" customWidth="1"/>
    <col min="2" max="2" width="19.88671875" customWidth="1"/>
    <col min="3" max="3" width="2.77734375" customWidth="1"/>
    <col min="4" max="4" width="11.109375" customWidth="1"/>
    <col min="5" max="5" width="9.21875" customWidth="1"/>
    <col min="8" max="15" width="11.6640625" customWidth="1"/>
  </cols>
  <sheetData>
    <row r="1" spans="2:15" ht="7.95" customHeight="1"/>
    <row r="2" spans="2:15" ht="60.45" customHeight="1">
      <c r="D2" s="56" t="s">
        <v>769</v>
      </c>
      <c r="E2" s="3"/>
    </row>
    <row r="3" spans="2:15" ht="7.95" customHeight="1">
      <c r="H3" s="1"/>
      <c r="I3" s="1"/>
      <c r="J3" s="1"/>
      <c r="K3" s="1"/>
      <c r="L3" s="1"/>
      <c r="M3" s="1"/>
      <c r="N3" s="1"/>
      <c r="O3" s="2"/>
    </row>
    <row r="4" spans="2:15" ht="22.5" customHeight="1">
      <c r="B4" s="270" t="s">
        <v>763</v>
      </c>
      <c r="H4" s="1"/>
      <c r="I4" s="1"/>
      <c r="J4" s="1"/>
      <c r="K4" s="1"/>
      <c r="L4" s="1"/>
      <c r="M4" s="1"/>
      <c r="N4" s="1"/>
      <c r="O4" s="2"/>
    </row>
    <row r="5" spans="2:15" ht="22.5" customHeight="1" thickBot="1">
      <c r="B5" s="271" t="s">
        <v>764</v>
      </c>
      <c r="H5" s="1"/>
      <c r="I5" s="1"/>
      <c r="J5" s="1"/>
      <c r="K5" s="1"/>
      <c r="L5" s="1"/>
      <c r="M5" s="1"/>
      <c r="N5" s="1"/>
      <c r="O5" s="2"/>
    </row>
    <row r="6" spans="2:15" ht="22.5" customHeight="1" thickBot="1">
      <c r="B6" s="270" t="s">
        <v>765</v>
      </c>
      <c r="D6" s="169">
        <v>1</v>
      </c>
      <c r="E6" s="168" t="s">
        <v>339</v>
      </c>
      <c r="G6" s="18"/>
      <c r="H6" s="19" t="s">
        <v>337</v>
      </c>
      <c r="I6" s="20" t="s">
        <v>338</v>
      </c>
      <c r="J6" s="20" t="s">
        <v>339</v>
      </c>
      <c r="K6" s="20" t="s">
        <v>340</v>
      </c>
      <c r="L6" s="20" t="s">
        <v>341</v>
      </c>
      <c r="M6" s="20" t="s">
        <v>342</v>
      </c>
      <c r="N6" s="20" t="s">
        <v>343</v>
      </c>
      <c r="O6" s="21" t="s">
        <v>344</v>
      </c>
    </row>
    <row r="7" spans="2:15" ht="22.5" customHeight="1">
      <c r="B7" s="271" t="s">
        <v>766</v>
      </c>
      <c r="D7" s="48">
        <f>D6*H51</f>
        <v>453.59199999999998</v>
      </c>
      <c r="E7" s="48" t="s">
        <v>337</v>
      </c>
      <c r="G7" s="22" t="s">
        <v>337</v>
      </c>
      <c r="H7" s="30">
        <v>1</v>
      </c>
      <c r="I7" s="31">
        <v>3.5274E-2</v>
      </c>
      <c r="J7" s="31" t="s">
        <v>345</v>
      </c>
      <c r="K7" s="31" t="s">
        <v>13</v>
      </c>
      <c r="L7" s="31"/>
      <c r="M7" s="31"/>
      <c r="N7" s="31"/>
      <c r="O7" s="32"/>
    </row>
    <row r="8" spans="2:15" ht="22.5" customHeight="1">
      <c r="B8" s="270" t="s">
        <v>767</v>
      </c>
      <c r="D8" s="48">
        <f>D6*I51</f>
        <v>16</v>
      </c>
      <c r="E8" s="48" t="s">
        <v>338</v>
      </c>
      <c r="G8" s="22" t="s">
        <v>338</v>
      </c>
      <c r="H8" s="33">
        <v>28.349499999999999</v>
      </c>
      <c r="I8" s="7">
        <v>1</v>
      </c>
      <c r="J8" s="8">
        <v>6.25E-2</v>
      </c>
      <c r="K8" s="8" t="s">
        <v>346</v>
      </c>
      <c r="L8" s="8"/>
      <c r="M8" s="8"/>
      <c r="N8" s="8"/>
      <c r="O8" s="24"/>
    </row>
    <row r="9" spans="2:15" ht="22.5" customHeight="1">
      <c r="B9" s="271" t="s">
        <v>768</v>
      </c>
      <c r="D9" s="48">
        <f>D6*J51</f>
        <v>1</v>
      </c>
      <c r="E9" s="48" t="s">
        <v>339</v>
      </c>
      <c r="G9" s="22" t="s">
        <v>339</v>
      </c>
      <c r="H9" s="34">
        <v>453.59199999999998</v>
      </c>
      <c r="I9" s="9">
        <v>16</v>
      </c>
      <c r="J9" s="4">
        <v>1</v>
      </c>
      <c r="K9" s="5">
        <v>0.453592</v>
      </c>
      <c r="L9" s="5" t="s">
        <v>347</v>
      </c>
      <c r="M9" s="5" t="s">
        <v>348</v>
      </c>
      <c r="N9" s="5" t="s">
        <v>349</v>
      </c>
      <c r="O9" s="23" t="s">
        <v>350</v>
      </c>
    </row>
    <row r="10" spans="2:15" ht="22.5" customHeight="1">
      <c r="B10" s="270" t="s">
        <v>769</v>
      </c>
      <c r="D10" s="48">
        <f>D6*K51</f>
        <v>0.453592</v>
      </c>
      <c r="E10" s="48" t="s">
        <v>340</v>
      </c>
      <c r="G10" s="22" t="s">
        <v>340</v>
      </c>
      <c r="H10" s="35">
        <v>1000</v>
      </c>
      <c r="I10" s="6" t="s">
        <v>351</v>
      </c>
      <c r="J10" s="6">
        <v>2.2046199999999998</v>
      </c>
      <c r="K10" s="7">
        <v>1</v>
      </c>
      <c r="L10" s="6">
        <v>1.9684E-2</v>
      </c>
      <c r="M10" s="8" t="s">
        <v>352</v>
      </c>
      <c r="N10" s="6" t="s">
        <v>13</v>
      </c>
      <c r="O10" s="49" t="s">
        <v>353</v>
      </c>
    </row>
    <row r="11" spans="2:15" ht="22.5" customHeight="1">
      <c r="B11" s="271" t="s">
        <v>770</v>
      </c>
      <c r="D11" s="48">
        <f>D6*L51</f>
        <v>8.9286000000000001E-3</v>
      </c>
      <c r="E11" s="48" t="s">
        <v>341</v>
      </c>
      <c r="G11" s="22" t="s">
        <v>341</v>
      </c>
      <c r="H11" s="36">
        <v>50802.3</v>
      </c>
      <c r="I11" s="9">
        <v>1792</v>
      </c>
      <c r="J11" s="5">
        <v>112</v>
      </c>
      <c r="K11" s="9">
        <v>50.802300000000002</v>
      </c>
      <c r="L11" s="4">
        <v>1</v>
      </c>
      <c r="M11" s="5">
        <v>5.6000000000000001E-2</v>
      </c>
      <c r="N11" s="5" t="s">
        <v>354</v>
      </c>
      <c r="O11" s="50">
        <v>0.05</v>
      </c>
    </row>
    <row r="12" spans="2:15" ht="22.5" customHeight="1">
      <c r="B12" s="270" t="s">
        <v>771</v>
      </c>
      <c r="D12" s="48">
        <f>D6*M51</f>
        <v>5.0000000000000001E-4</v>
      </c>
      <c r="E12" s="48" t="s">
        <v>342</v>
      </c>
      <c r="G12" s="22" t="s">
        <v>342</v>
      </c>
      <c r="H12" s="35">
        <v>907185</v>
      </c>
      <c r="I12" s="6">
        <v>32000</v>
      </c>
      <c r="J12" s="10">
        <v>2000</v>
      </c>
      <c r="K12" s="6">
        <v>907.18499999999995</v>
      </c>
      <c r="L12" s="6">
        <v>17.857099999999999</v>
      </c>
      <c r="M12" s="11">
        <v>1</v>
      </c>
      <c r="N12" s="6">
        <v>0.90718500000000002</v>
      </c>
      <c r="O12" s="49">
        <v>0.89285700000000001</v>
      </c>
    </row>
    <row r="13" spans="2:15" ht="22.5" customHeight="1">
      <c r="B13" s="271" t="s">
        <v>772</v>
      </c>
      <c r="D13" s="48">
        <f>D6*N51</f>
        <v>4.53592E-4</v>
      </c>
      <c r="E13" s="48" t="s">
        <v>343</v>
      </c>
      <c r="G13" s="22" t="s">
        <v>343</v>
      </c>
      <c r="H13" s="37" t="s">
        <v>45</v>
      </c>
      <c r="I13" s="12">
        <v>35273.9</v>
      </c>
      <c r="J13" s="12">
        <v>2204.62</v>
      </c>
      <c r="K13" s="13">
        <v>1000</v>
      </c>
      <c r="L13" s="13">
        <v>19.684100000000001</v>
      </c>
      <c r="M13" s="13">
        <v>1.1023099999999999</v>
      </c>
      <c r="N13" s="14">
        <v>1</v>
      </c>
      <c r="O13" s="51">
        <v>0.98420700000000005</v>
      </c>
    </row>
    <row r="14" spans="2:15" ht="22.5" customHeight="1" thickBot="1">
      <c r="B14" s="270" t="s">
        <v>773</v>
      </c>
      <c r="D14" s="48">
        <f>D6*O51</f>
        <v>4.4642999999999999E-4</v>
      </c>
      <c r="E14" s="48" t="s">
        <v>344</v>
      </c>
      <c r="G14" s="27" t="s">
        <v>344</v>
      </c>
      <c r="H14" s="52" t="s">
        <v>355</v>
      </c>
      <c r="I14" s="53">
        <v>35840</v>
      </c>
      <c r="J14" s="54">
        <v>2240</v>
      </c>
      <c r="K14" s="54">
        <v>1016.05</v>
      </c>
      <c r="L14" s="54">
        <v>20</v>
      </c>
      <c r="M14" s="54">
        <v>1.1200000000000001</v>
      </c>
      <c r="N14" s="54">
        <v>1.0160499999999999</v>
      </c>
      <c r="O14" s="55">
        <v>1</v>
      </c>
    </row>
    <row r="15" spans="2:15" ht="22.5" customHeight="1">
      <c r="B15" s="271" t="s">
        <v>774</v>
      </c>
    </row>
    <row r="16" spans="2:15" ht="22.5" customHeight="1">
      <c r="B16" s="270" t="s">
        <v>775</v>
      </c>
      <c r="G16" s="46" t="s">
        <v>356</v>
      </c>
    </row>
    <row r="17" spans="2:7" ht="22.5" customHeight="1">
      <c r="B17" s="271" t="s">
        <v>776</v>
      </c>
      <c r="G17" s="46" t="s">
        <v>357</v>
      </c>
    </row>
    <row r="18" spans="2:7" ht="22.5" customHeight="1">
      <c r="B18" s="270" t="s">
        <v>777</v>
      </c>
    </row>
    <row r="19" spans="2:7" ht="22.5" customHeight="1">
      <c r="B19" s="271" t="s">
        <v>778</v>
      </c>
      <c r="G19" s="46"/>
    </row>
    <row r="20" spans="2:7" ht="22.5" customHeight="1">
      <c r="B20" s="270" t="s">
        <v>779</v>
      </c>
      <c r="G20" s="46"/>
    </row>
    <row r="21" spans="2:7" ht="22.5" customHeight="1">
      <c r="B21" s="271" t="s">
        <v>780</v>
      </c>
      <c r="G21" s="46"/>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5" hidden="1">
      <c r="H50" s="40">
        <v>2</v>
      </c>
      <c r="I50" s="41">
        <v>3</v>
      </c>
      <c r="J50" s="41">
        <v>4</v>
      </c>
      <c r="K50" s="41">
        <v>5</v>
      </c>
      <c r="L50" s="41">
        <v>6</v>
      </c>
      <c r="M50" s="41">
        <v>7</v>
      </c>
      <c r="N50" s="41">
        <v>8</v>
      </c>
      <c r="O50" s="41">
        <v>9</v>
      </c>
    </row>
    <row r="51" spans="8:15" ht="15" hidden="1" thickBot="1">
      <c r="H51" s="43">
        <f t="shared" ref="H51:O51" si="0">VLOOKUP($E$6,$G$7:$O$17,H50,FALSE)</f>
        <v>453.59199999999998</v>
      </c>
      <c r="I51" s="44">
        <f t="shared" si="0"/>
        <v>16</v>
      </c>
      <c r="J51" s="44">
        <f t="shared" si="0"/>
        <v>1</v>
      </c>
      <c r="K51" s="44">
        <f t="shared" si="0"/>
        <v>0.453592</v>
      </c>
      <c r="L51" s="44" t="str">
        <f t="shared" si="0"/>
        <v>8.9286e-3</v>
      </c>
      <c r="M51" s="44" t="str">
        <f t="shared" si="0"/>
        <v>5.00e-4</v>
      </c>
      <c r="N51" s="44" t="str">
        <f t="shared" si="0"/>
        <v>4.53592e-4</v>
      </c>
      <c r="O51" s="44" t="str">
        <f t="shared" si="0"/>
        <v>4.4643e-4</v>
      </c>
    </row>
  </sheetData>
  <dataValidations count="1">
    <dataValidation type="list" allowBlank="1" showInputMessage="1" showErrorMessage="1" sqref="E6" xr:uid="{00000000-0002-0000-0700-000000000000}">
      <formula1>E7:E14</formula1>
    </dataValidation>
  </dataValidations>
  <hyperlinks>
    <hyperlink ref="B4" location="'01'!A1" display="01 Length" xr:uid="{00000000-0004-0000-0700-000000000000}"/>
    <hyperlink ref="B5" location="'02'!A1" display="02 Area (small)" xr:uid="{00000000-0004-0000-0700-000001000000}"/>
    <hyperlink ref="B6" location="'03'!A1" display="03 Area (large)" xr:uid="{00000000-0004-0000-0700-000002000000}"/>
    <hyperlink ref="B7" location="'04'!A1" display="04 Volume" xr:uid="{00000000-0004-0000-0700-000003000000}"/>
    <hyperlink ref="B8" location="'05'!A1" display="05 Velocity" xr:uid="{00000000-0004-0000-0700-000004000000}"/>
    <hyperlink ref="B9" location="'06'!A1" display="06 Volume flow" xr:uid="{00000000-0004-0000-0700-000005000000}"/>
    <hyperlink ref="B10" location="'07'!A1" display="07 Mass" xr:uid="{00000000-0004-0000-0700-000006000000}"/>
    <hyperlink ref="B11" location="'08'!A1" display="08 Density" xr:uid="{00000000-0004-0000-0700-000007000000}"/>
    <hyperlink ref="B12" location="'09'!A1" display="09 Mass flow" xr:uid="{00000000-0004-0000-0700-000008000000}"/>
    <hyperlink ref="B13" location="'10'!A1" display="10 Force" xr:uid="{00000000-0004-0000-0700-000009000000}"/>
    <hyperlink ref="B14" location="'11'!A1" display="11 Pressure" xr:uid="{00000000-0004-0000-0700-00000A000000}"/>
    <hyperlink ref="B15" location="'12'!A1" display="12 Energy" xr:uid="{00000000-0004-0000-0700-00000B000000}"/>
    <hyperlink ref="B16" location="'13'!A1" display="13 Calorific value" xr:uid="{00000000-0004-0000-0700-00000C000000}"/>
    <hyperlink ref="B17" location="'14'!A1" display="14 Gas price" xr:uid="{00000000-0004-0000-0700-00000D000000}"/>
    <hyperlink ref="B18" location="'15'!A1" display="15 Temperature" xr:uid="{00000000-0004-0000-0700-00000E000000}"/>
    <hyperlink ref="B19" location="'16'!A1" display="16 API gravity" xr:uid="{00000000-0004-0000-0700-00000F000000}"/>
    <hyperlink ref="B20" location="'17'!A1" display="17 BOE" xr:uid="{00000000-0004-0000-0700-000010000000}"/>
    <hyperlink ref="B21" location="'18'!A1" display="18 LNG" xr:uid="{00000000-0004-0000-0700-000011000000}"/>
    <hyperlink ref="B22" location="'19'!A1" display="19 Emissions" xr:uid="{00000000-0004-0000-0700-000012000000}"/>
    <hyperlink ref="B23" location="'20'!A1" display="20 SI prefixes" xr:uid="{00000000-0004-0000-0700-000013000000}"/>
    <hyperlink ref="B24" location="'21'!A1" display="21 ISO 6974" xr:uid="{00000000-0004-0000-0700-000014000000}"/>
    <hyperlink ref="B25" location="'22'!A1" display="22 SRK equation" xr:uid="{00000000-0004-0000-0700-000015000000}"/>
  </hyperlinks>
  <pageMargins left="0.7" right="0.7" top="0.75" bottom="0.75" header="0.3" footer="0.3"/>
  <pageSetup paperSize="9"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51"/>
  <sheetViews>
    <sheetView showGridLines="0" workbookViewId="0"/>
  </sheetViews>
  <sheetFormatPr defaultRowHeight="14.4"/>
  <cols>
    <col min="1" max="1" width="3.21875" customWidth="1"/>
    <col min="2" max="2" width="19.88671875" customWidth="1"/>
    <col min="3" max="3" width="2.77734375" customWidth="1"/>
    <col min="4" max="4" width="11.109375" customWidth="1"/>
    <col min="5" max="5" width="9.21875" customWidth="1"/>
    <col min="8" max="13" width="11.6640625" customWidth="1"/>
  </cols>
  <sheetData>
    <row r="1" spans="2:13" ht="7.95" customHeight="1"/>
    <row r="2" spans="2:13" ht="60.45" customHeight="1">
      <c r="D2" s="56" t="s">
        <v>770</v>
      </c>
      <c r="E2" s="3"/>
    </row>
    <row r="3" spans="2:13" ht="7.95" customHeight="1">
      <c r="H3" s="1"/>
      <c r="I3" s="1"/>
      <c r="J3" s="1"/>
      <c r="K3" s="1"/>
      <c r="L3" s="1"/>
      <c r="M3" s="1"/>
    </row>
    <row r="4" spans="2:13" ht="22.5" customHeight="1">
      <c r="B4" s="270" t="s">
        <v>763</v>
      </c>
      <c r="H4" s="1"/>
      <c r="I4" s="1"/>
      <c r="J4" s="1"/>
      <c r="K4" s="1"/>
      <c r="L4" s="1"/>
      <c r="M4" s="1"/>
    </row>
    <row r="5" spans="2:13" ht="22.5" customHeight="1" thickBot="1">
      <c r="B5" s="271" t="s">
        <v>764</v>
      </c>
      <c r="H5" s="1"/>
      <c r="I5" s="1"/>
      <c r="J5" s="1"/>
      <c r="K5" s="1"/>
      <c r="L5" s="1"/>
      <c r="M5" s="1"/>
    </row>
    <row r="6" spans="2:13" ht="22.5" customHeight="1" thickBot="1">
      <c r="B6" s="270" t="s">
        <v>765</v>
      </c>
      <c r="D6" s="169">
        <v>1</v>
      </c>
      <c r="E6" s="168" t="s">
        <v>358</v>
      </c>
      <c r="G6" s="18"/>
      <c r="H6" s="19" t="s">
        <v>358</v>
      </c>
      <c r="I6" s="20" t="s">
        <v>359</v>
      </c>
      <c r="J6" s="20" t="s">
        <v>360</v>
      </c>
      <c r="K6" s="20" t="s">
        <v>361</v>
      </c>
      <c r="L6" s="20" t="s">
        <v>362</v>
      </c>
      <c r="M6" s="21" t="s">
        <v>363</v>
      </c>
    </row>
    <row r="7" spans="2:13" ht="22.5" customHeight="1">
      <c r="B7" s="271" t="s">
        <v>766</v>
      </c>
      <c r="D7" s="48">
        <f>D6*H51</f>
        <v>1</v>
      </c>
      <c r="E7" s="48" t="s">
        <v>358</v>
      </c>
      <c r="G7" s="22" t="s">
        <v>358</v>
      </c>
      <c r="H7" s="30">
        <v>1</v>
      </c>
      <c r="I7" s="31">
        <v>6.2427999999999997E-2</v>
      </c>
      <c r="J7" s="31">
        <v>1.0022E-2</v>
      </c>
      <c r="K7" s="31" t="s">
        <v>13</v>
      </c>
      <c r="L7" s="31" t="s">
        <v>364</v>
      </c>
      <c r="M7" s="32" t="s">
        <v>365</v>
      </c>
    </row>
    <row r="8" spans="2:13" ht="22.5" customHeight="1">
      <c r="B8" s="270" t="s">
        <v>767</v>
      </c>
      <c r="D8" s="48">
        <f>D6*I51</f>
        <v>6.2427999999999997E-2</v>
      </c>
      <c r="E8" s="48" t="s">
        <v>359</v>
      </c>
      <c r="G8" s="22" t="s">
        <v>359</v>
      </c>
      <c r="H8" s="33">
        <v>16.0185</v>
      </c>
      <c r="I8" s="7">
        <v>1</v>
      </c>
      <c r="J8" s="8">
        <v>0.16054399999999999</v>
      </c>
      <c r="K8" s="8">
        <v>1.6018500000000001E-2</v>
      </c>
      <c r="L8" s="8">
        <v>1.2053599999999999E-2</v>
      </c>
      <c r="M8" s="24" t="s">
        <v>366</v>
      </c>
    </row>
    <row r="9" spans="2:13" ht="22.5" customHeight="1">
      <c r="B9" s="271" t="s">
        <v>768</v>
      </c>
      <c r="D9" s="48">
        <f>D6*J51</f>
        <v>1.0022E-2</v>
      </c>
      <c r="E9" s="48" t="s">
        <v>360</v>
      </c>
      <c r="G9" s="22" t="s">
        <v>360</v>
      </c>
      <c r="H9" s="34">
        <v>99.775999999999996</v>
      </c>
      <c r="I9" s="9">
        <v>6.2288399999999999</v>
      </c>
      <c r="J9" s="4">
        <v>1</v>
      </c>
      <c r="K9" s="5">
        <v>9.9776000000000004E-2</v>
      </c>
      <c r="L9" s="5" t="s">
        <v>367</v>
      </c>
      <c r="M9" s="23" t="s">
        <v>368</v>
      </c>
    </row>
    <row r="10" spans="2:13" ht="22.5" customHeight="1">
      <c r="B10" s="270" t="s">
        <v>769</v>
      </c>
      <c r="D10" s="48">
        <f>D6*K51</f>
        <v>1E-3</v>
      </c>
      <c r="E10" s="48" t="s">
        <v>361</v>
      </c>
      <c r="G10" s="22" t="s">
        <v>361</v>
      </c>
      <c r="H10" s="35">
        <v>1000</v>
      </c>
      <c r="I10" s="6" t="s">
        <v>369</v>
      </c>
      <c r="J10" s="6">
        <v>10.022399999999999</v>
      </c>
      <c r="K10" s="7">
        <v>1</v>
      </c>
      <c r="L10" s="6">
        <v>0.75248000000000004</v>
      </c>
      <c r="M10" s="24">
        <v>3.6126999999999999E-2</v>
      </c>
    </row>
    <row r="11" spans="2:13" ht="22.5" customHeight="1">
      <c r="B11" s="271" t="s">
        <v>770</v>
      </c>
      <c r="D11" s="48">
        <f>D6*L51</f>
        <v>7.5248000000000003E-4</v>
      </c>
      <c r="E11" s="48" t="s">
        <v>362</v>
      </c>
      <c r="G11" s="22" t="s">
        <v>362</v>
      </c>
      <c r="H11" s="36">
        <v>1328.94</v>
      </c>
      <c r="I11" s="9" t="s">
        <v>370</v>
      </c>
      <c r="J11" s="5">
        <v>13.3192</v>
      </c>
      <c r="K11" s="9">
        <v>1.32894</v>
      </c>
      <c r="L11" s="4">
        <v>1</v>
      </c>
      <c r="M11" s="23">
        <v>4.8010999999999998E-2</v>
      </c>
    </row>
    <row r="12" spans="2:13" ht="22.5" customHeight="1" thickBot="1">
      <c r="B12" s="270" t="s">
        <v>771</v>
      </c>
      <c r="D12" s="48">
        <f>D6*M51</f>
        <v>3.6046E-5</v>
      </c>
      <c r="E12" s="48" t="s">
        <v>363</v>
      </c>
      <c r="G12" s="27" t="s">
        <v>363</v>
      </c>
      <c r="H12" s="164">
        <v>27679.9</v>
      </c>
      <c r="I12" s="165">
        <v>1728</v>
      </c>
      <c r="J12" s="166">
        <v>277.41899999999998</v>
      </c>
      <c r="K12" s="165">
        <v>27.6799</v>
      </c>
      <c r="L12" s="165">
        <v>20.828600000000002</v>
      </c>
      <c r="M12" s="167">
        <v>1</v>
      </c>
    </row>
    <row r="13" spans="2:13" ht="22.5" customHeight="1">
      <c r="B13" s="271" t="s">
        <v>772</v>
      </c>
      <c r="D13" s="48"/>
      <c r="E13" s="48"/>
    </row>
    <row r="14" spans="2:13" ht="22.5" customHeight="1">
      <c r="B14" s="270" t="s">
        <v>773</v>
      </c>
      <c r="D14" s="48"/>
      <c r="E14" s="48"/>
      <c r="G14" s="46" t="s">
        <v>371</v>
      </c>
    </row>
    <row r="15" spans="2:13" ht="22.5" customHeight="1">
      <c r="B15" s="271" t="s">
        <v>774</v>
      </c>
      <c r="G15" s="46" t="s">
        <v>372</v>
      </c>
    </row>
    <row r="16" spans="2:13" ht="22.5" customHeight="1">
      <c r="B16" s="270" t="s">
        <v>775</v>
      </c>
      <c r="G16" s="46" t="s">
        <v>373</v>
      </c>
    </row>
    <row r="17" spans="2:7" ht="22.5" customHeight="1">
      <c r="B17" s="271" t="s">
        <v>776</v>
      </c>
      <c r="G17" s="46" t="s">
        <v>374</v>
      </c>
    </row>
    <row r="18" spans="2:7" ht="22.5" customHeight="1">
      <c r="B18" s="270" t="s">
        <v>777</v>
      </c>
    </row>
    <row r="19" spans="2:7" ht="22.5" customHeight="1">
      <c r="B19" s="271" t="s">
        <v>778</v>
      </c>
      <c r="G19" s="46"/>
    </row>
    <row r="20" spans="2:7" ht="22.5" customHeight="1">
      <c r="B20" s="270" t="s">
        <v>779</v>
      </c>
      <c r="G20" s="46"/>
    </row>
    <row r="21" spans="2:7" ht="22.5" customHeight="1">
      <c r="B21" s="271" t="s">
        <v>780</v>
      </c>
      <c r="G21" s="46"/>
    </row>
    <row r="22" spans="2:7" ht="22.5" customHeight="1">
      <c r="B22" s="270" t="s">
        <v>781</v>
      </c>
    </row>
    <row r="23" spans="2:7" ht="22.5" customHeight="1">
      <c r="B23" s="271" t="s">
        <v>782</v>
      </c>
    </row>
    <row r="24" spans="2:7" ht="22.5" customHeight="1">
      <c r="B24" s="270" t="s">
        <v>783</v>
      </c>
    </row>
    <row r="25" spans="2:7" ht="22.5" customHeight="1">
      <c r="B25" s="271" t="s">
        <v>784</v>
      </c>
    </row>
    <row r="26" spans="2:7" ht="22.5" customHeight="1"/>
    <row r="27" spans="2:7" ht="22.5" customHeight="1"/>
    <row r="50" spans="8:13" hidden="1">
      <c r="H50" s="40">
        <v>2</v>
      </c>
      <c r="I50" s="41">
        <v>3</v>
      </c>
      <c r="J50" s="41">
        <v>4</v>
      </c>
      <c r="K50" s="41">
        <v>5</v>
      </c>
      <c r="L50" s="41">
        <v>6</v>
      </c>
      <c r="M50" s="41">
        <v>7</v>
      </c>
    </row>
    <row r="51" spans="8:13" ht="15" hidden="1" thickBot="1">
      <c r="H51" s="43">
        <f t="shared" ref="H51:M51" si="0">VLOOKUP($E$6,$G$7:$M$15,H50,FALSE)</f>
        <v>1</v>
      </c>
      <c r="I51" s="44">
        <f t="shared" si="0"/>
        <v>6.2427999999999997E-2</v>
      </c>
      <c r="J51" s="44">
        <f t="shared" si="0"/>
        <v>1.0022E-2</v>
      </c>
      <c r="K51" s="44" t="str">
        <f t="shared" si="0"/>
        <v>1e-3</v>
      </c>
      <c r="L51" s="44" t="str">
        <f t="shared" si="0"/>
        <v>7.5248e-4</v>
      </c>
      <c r="M51" s="44" t="str">
        <f t="shared" si="0"/>
        <v>3.6046e-5</v>
      </c>
    </row>
  </sheetData>
  <dataValidations count="1">
    <dataValidation type="list" allowBlank="1" showInputMessage="1" showErrorMessage="1" sqref="E6" xr:uid="{00000000-0002-0000-0800-000000000000}">
      <formula1>E7:E12</formula1>
    </dataValidation>
  </dataValidations>
  <hyperlinks>
    <hyperlink ref="B4" location="'01'!A1" display="01 Length" xr:uid="{00000000-0004-0000-0800-000000000000}"/>
    <hyperlink ref="B5" location="'02'!A1" display="02 Area (small)" xr:uid="{00000000-0004-0000-0800-000001000000}"/>
    <hyperlink ref="B6" location="'03'!A1" display="03 Area (large)" xr:uid="{00000000-0004-0000-0800-000002000000}"/>
    <hyperlink ref="B7" location="'04'!A1" display="04 Volume" xr:uid="{00000000-0004-0000-0800-000003000000}"/>
    <hyperlink ref="B8" location="'05'!A1" display="05 Velocity" xr:uid="{00000000-0004-0000-0800-000004000000}"/>
    <hyperlink ref="B9" location="'06'!A1" display="06 Volume flow" xr:uid="{00000000-0004-0000-0800-000005000000}"/>
    <hyperlink ref="B10" location="'07'!A1" display="07 Mass" xr:uid="{00000000-0004-0000-0800-000006000000}"/>
    <hyperlink ref="B11" location="'08'!A1" display="08 Density" xr:uid="{00000000-0004-0000-0800-000007000000}"/>
    <hyperlink ref="B12" location="'09'!A1" display="09 Mass flow" xr:uid="{00000000-0004-0000-0800-000008000000}"/>
    <hyperlink ref="B13" location="'10'!A1" display="10 Force" xr:uid="{00000000-0004-0000-0800-000009000000}"/>
    <hyperlink ref="B14" location="'11'!A1" display="11 Pressure" xr:uid="{00000000-0004-0000-0800-00000A000000}"/>
    <hyperlink ref="B15" location="'12'!A1" display="12 Energy" xr:uid="{00000000-0004-0000-0800-00000B000000}"/>
    <hyperlink ref="B16" location="'13'!A1" display="13 Calorific value" xr:uid="{00000000-0004-0000-0800-00000C000000}"/>
    <hyperlink ref="B17" location="'14'!A1" display="14 Gas price" xr:uid="{00000000-0004-0000-0800-00000D000000}"/>
    <hyperlink ref="B18" location="'15'!A1" display="15 Temperature" xr:uid="{00000000-0004-0000-0800-00000E000000}"/>
    <hyperlink ref="B19" location="'16'!A1" display="16 API gravity" xr:uid="{00000000-0004-0000-0800-00000F000000}"/>
    <hyperlink ref="B20" location="'17'!A1" display="17 BOE" xr:uid="{00000000-0004-0000-0800-000010000000}"/>
    <hyperlink ref="B21" location="'18'!A1" display="18 LNG" xr:uid="{00000000-0004-0000-0800-000011000000}"/>
    <hyperlink ref="B22" location="'19'!A1" display="19 Emissions" xr:uid="{00000000-0004-0000-0800-000012000000}"/>
    <hyperlink ref="B23" location="'20'!A1" display="20 SI prefixes" xr:uid="{00000000-0004-0000-0800-000013000000}"/>
    <hyperlink ref="B24" location="'21'!A1" display="21 ISO 6974" xr:uid="{00000000-0004-0000-0800-000014000000}"/>
    <hyperlink ref="B25" location="'22'!A1" display="22 SRK equation" xr:uid="{00000000-0004-0000-0800-000015000000}"/>
    <hyperlink ref="G15" location="'17'!A1" display="Degrees API = (141.5 / G) - 131.5" xr:uid="{00000000-0004-0000-0800-000016000000}"/>
  </hyperlink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Index</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'22'!Print_Area</vt:lpstr>
      <vt:lpstr>'22'!Print_Area_MI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Horobin</dc:creator>
  <cp:lastModifiedBy>Ashley Horobin</cp:lastModifiedBy>
  <dcterms:created xsi:type="dcterms:W3CDTF">2016-02-10T09:41:30Z</dcterms:created>
  <dcterms:modified xsi:type="dcterms:W3CDTF">2018-12-03T11:10:20Z</dcterms:modified>
</cp:coreProperties>
</file>